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<sst xmlns="http://schemas.openxmlformats.org/spreadsheetml/2006/main" count="273" uniqueCount="242">
  <si>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</si>
  <si>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</si>
  <si>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</si>
  <si>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</si>
  <si>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</si>
  <si>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</si>
  <si>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</si>
  <si>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</si>
  <si>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</si>
  <si>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</si>
  <si>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</si>
  <si>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</si>
  <si>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</si>
  <si>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</si>
  <si>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</si>
  <si>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</si>
  <si>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</si>
  <si>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</si>
  <si>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</si>
  <si>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</si>
  <si>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</si>
  <si>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</si>
  <si>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</si>
  <si>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</si>
  <si>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</si>
  <si>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</si>
  <si>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</si>
  <si>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</si>
  <si>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</si>
  <si>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</si>
  <si>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</si>
  <si>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</si>
  <si>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</si>
  <si>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</si>
  <si>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</si>
  <si>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</si>
  <si>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</si>
  <si>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</si>
  <si>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</si>
  <si>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</si>
  <si>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</si>
  <si>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</si>
  <si>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</si>
  <si>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</si>
  <si>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</si>
  <si>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</si>
  <si>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</si>
  <si>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</si>
  <si>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</si>
  <si>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</si>
  <si>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</si>
  <si>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</si>
  <si>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</si>
  <si>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</si>
  <si>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</si>
  <si>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</si>
  <si>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</si>
  <si>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</si>
  <si>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</si>
  <si>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</si>
  <si>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</si>
  <si>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</si>
  <si>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</si>
  <si>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</si>
  <si>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</si>
  <si>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</si>
  <si>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</si>
  <si>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</si>
  <si>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</si>
  <si>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</si>
  <si>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</si>
  <si>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</si>
  <si>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</si>
  <si>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</si>
  <si>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</si>
  <si>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</si>
  <si>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</si>
  <si>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</si>
  <si>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</si>
  <si>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</si>
  <si>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</si>
  <si>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</si>
  <si>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</si>
  <si>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</si>
  <si>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</si>
  <si>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</si>
  <si>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</si>
  <si>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</si>
  <si>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</si>
  <si>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</si>
  <si>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</si>
  <si>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</si>
  <si>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</si>
  <si>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</si>
  <si>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</si>
  <si>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</si>
  <si>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</si>
  <si>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</si>
  <si>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</si>
  <si>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</si>
  <si>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</si>
  <si>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</si>
  <si>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</si>
  <si>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</si>
  <si>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</si>
  <si>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</si>
  <si>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</si>
  <si>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</si>
  <si>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</si>
  <si>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</si>
  <si>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</si>
  <si>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</si>
  <si>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</si>
  <si>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</si>
  <si>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</si>
  <si>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</si>
  <si>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</si>
  <si>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</si>
  <si>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</si>
  <si>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</si>
  <si>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</si>
  <si>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</si>
  <si>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</si>
  <si>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</si>
  <si>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</si>
  <si>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</si>
  <si>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</si>
  <si>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</si>
  <si>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</si>
  <si>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</si>
  <si>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</si>
  <si>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</si>
  <si>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</si>
  <si>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</si>
  <si>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</si>
  <si>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</si>
  <si>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</si>
  <si>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</si>
  <si>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</si>
  <si>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</si>
  <si>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</si>
  <si>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</si>
  <si>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</si>
  <si>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</si>
  <si>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</si>
  <si>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</si>
  <si>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</si>
  <si>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</si>
  <si>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</si>
  <si>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</si>
  <si>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</si>
  <si>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</si>
  <si>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</si>
  <si>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</si>
  <si>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</si>
  <si>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</si>
  <si>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</si>
  <si>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</si>
  <si>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</si>
  <si>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</si>
  <si>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</si>
  <si>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</si>
  <si>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</si>
  <si>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</si>
  <si>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</si>
  <si>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</si>
  <si>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</si>
  <si>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</si>
  <si>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</si>
  <si>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</si>
  <si>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</si>
  <si>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</si>
  <si>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</si>
  <si>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</si>
  <si>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</si>
  <si>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</si>
  <si>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</si>
  <si>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</si>
  <si>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</si>
  <si>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</si>
  <si>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</si>
  <si>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</si>
  <si>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</si>
  <si>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</si>
  <si>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</si>
  <si>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</si>
  <si>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</si>
  <si>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</si>
  <si>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</si>
  <si>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</si>
  <si>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</si>
  <si>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</si>
  <si>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</si>
  <si>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</si>
  <si>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</si>
  <si>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</si>
  <si>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</si>
  <si>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</si>
  <si>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</si>
  <si>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</si>
  <si>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</si>
  <si>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</si>
  <si>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</si>
  <si>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</si>
  <si>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</si>
  <si>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</si>
  <si>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</si>
  <si>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</si>
  <si>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</si>
  <si>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</si>
  <si>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</si>
  <si>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</si>
  <si>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</si>
  <si>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</si>
  <si>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</si>
  <si>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</si>
  <si>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</si>
  <si>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</si>
  <si>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</si>
  <si>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</si>
  <si>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</si>
  <si>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</si>
  <si>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</si>
  <si>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</si>
  <si>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</si>
  <si>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</si>
  <si>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</si>
  <si>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</si>
  <si>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</si>
  <si>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</si>
  <si>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</si>
  <si>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</si>
  <si>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</si>
  <si>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</si>
  <si>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</si>
  <si>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</si>
  <si>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</si>
  <si>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</si>
  <si>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</si>
  <si>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</si>
  <si>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</si>
  <si>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t>Профінансовано на 24.07.2017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</si>
</sst>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/>
    </xf>
    <xf numFmtId="0" fontId="45" fillId="26" borderId="14" xfId="0" applyFont="1" applyFill="1" applyBorder="1" applyAlignment="1">
      <alignment horizontal="center"/>
    </xf>
    <xf numFmtId="0" fontId="45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2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workbookViewId="0" topLeftCell="D1">
      <pane ySplit="7" topLeftCell="BM8" activePane="bottomLeft" state="frozen"/>
      <selection pane="topLeft" activeCell="B1" sqref="B1"/>
      <selection pane="bottomLeft" activeCell="AI109" sqref="AI10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5"/>
      <c r="AG2" s="6"/>
    </row>
    <row r="3" ht="12.75">
      <c r="AH3" s="94"/>
    </row>
    <row r="4" spans="2:34" ht="18.75">
      <c r="B4" s="292" t="s">
        <v>185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94"/>
    </row>
    <row r="5" spans="1:35" ht="20.25" customHeight="1">
      <c r="A5" s="268" t="s">
        <v>106</v>
      </c>
      <c r="B5" s="7"/>
      <c r="C5" s="269" t="s">
        <v>107</v>
      </c>
      <c r="E5" s="8" t="s">
        <v>108</v>
      </c>
      <c r="F5" s="8" t="s">
        <v>109</v>
      </c>
      <c r="G5" s="9" t="s">
        <v>110</v>
      </c>
      <c r="H5" s="8" t="s">
        <v>111</v>
      </c>
      <c r="I5" s="8" t="s">
        <v>37</v>
      </c>
      <c r="J5" s="271" t="s">
        <v>38</v>
      </c>
      <c r="K5" s="271" t="s">
        <v>39</v>
      </c>
      <c r="L5" s="271" t="s">
        <v>40</v>
      </c>
      <c r="M5" s="271" t="s">
        <v>41</v>
      </c>
      <c r="N5" s="297" t="s">
        <v>42</v>
      </c>
      <c r="O5" s="298"/>
      <c r="P5" s="299"/>
      <c r="Q5" s="273" t="s">
        <v>43</v>
      </c>
      <c r="R5" s="273" t="s">
        <v>44</v>
      </c>
      <c r="S5" s="275" t="s">
        <v>45</v>
      </c>
      <c r="T5" s="276"/>
      <c r="U5" s="10"/>
      <c r="V5" s="277" t="s">
        <v>46</v>
      </c>
      <c r="W5" s="277" t="s">
        <v>47</v>
      </c>
      <c r="X5" s="277" t="s">
        <v>48</v>
      </c>
      <c r="Y5" s="263" t="s">
        <v>49</v>
      </c>
      <c r="Z5" s="279" t="s">
        <v>50</v>
      </c>
      <c r="AA5" s="287" t="s">
        <v>51</v>
      </c>
      <c r="AB5" s="287" t="s">
        <v>52</v>
      </c>
      <c r="AC5" s="285" t="s">
        <v>53</v>
      </c>
      <c r="AD5" s="131"/>
      <c r="AI5" s="11" t="s">
        <v>54</v>
      </c>
    </row>
    <row r="6" spans="1:35" ht="19.5">
      <c r="A6" s="268"/>
      <c r="B6" s="271" t="s">
        <v>55</v>
      </c>
      <c r="C6" s="270"/>
      <c r="D6" s="271" t="s">
        <v>56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72"/>
      <c r="K6" s="272"/>
      <c r="L6" s="272"/>
      <c r="M6" s="272"/>
      <c r="N6" s="300"/>
      <c r="O6" s="301"/>
      <c r="P6" s="302"/>
      <c r="Q6" s="274"/>
      <c r="R6" s="274"/>
      <c r="S6" s="266" t="s">
        <v>92</v>
      </c>
      <c r="T6" s="267"/>
      <c r="U6" s="14"/>
      <c r="V6" s="278"/>
      <c r="W6" s="278"/>
      <c r="X6" s="278"/>
      <c r="Y6" s="264"/>
      <c r="Z6" s="280"/>
      <c r="AA6" s="288"/>
      <c r="AB6" s="288"/>
      <c r="AC6" s="286"/>
      <c r="AD6" s="295" t="s">
        <v>93</v>
      </c>
      <c r="AE6" s="293" t="s">
        <v>43</v>
      </c>
      <c r="AF6" s="293" t="s">
        <v>44</v>
      </c>
      <c r="AG6" s="148" t="s">
        <v>45</v>
      </c>
      <c r="AH6" s="287" t="s">
        <v>241</v>
      </c>
      <c r="AI6" s="291" t="s">
        <v>36</v>
      </c>
    </row>
    <row r="7" spans="1:35" ht="36.75" customHeight="1">
      <c r="A7" s="15">
        <v>1</v>
      </c>
      <c r="B7" s="272"/>
      <c r="C7" s="128">
        <v>1</v>
      </c>
      <c r="D7" s="27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29"/>
      <c r="AC7" s="130"/>
      <c r="AD7" s="296"/>
      <c r="AE7" s="294"/>
      <c r="AF7" s="294"/>
      <c r="AG7" s="147" t="s">
        <v>92</v>
      </c>
      <c r="AH7" s="288"/>
      <c r="AI7" s="291"/>
    </row>
    <row r="8" spans="1:35" ht="15.75" customHeight="1">
      <c r="A8" s="15"/>
      <c r="B8" s="153" t="s">
        <v>24</v>
      </c>
      <c r="C8" s="154"/>
      <c r="D8" s="155" t="s">
        <v>182</v>
      </c>
      <c r="E8" s="156"/>
      <c r="F8" s="156"/>
      <c r="G8" s="157"/>
      <c r="H8" s="156"/>
      <c r="I8" s="156"/>
      <c r="J8" s="158"/>
      <c r="K8" s="158"/>
      <c r="L8" s="158"/>
      <c r="M8" s="158"/>
      <c r="N8" s="158"/>
      <c r="O8" s="158"/>
      <c r="P8" s="158"/>
      <c r="Q8" s="159"/>
      <c r="R8" s="159"/>
      <c r="S8" s="160"/>
      <c r="T8" s="161"/>
      <c r="U8" s="161"/>
      <c r="V8" s="161"/>
      <c r="W8" s="161"/>
      <c r="X8" s="159"/>
      <c r="Y8" s="159"/>
      <c r="Z8" s="159"/>
      <c r="AA8" s="159"/>
      <c r="AB8" s="162"/>
      <c r="AC8" s="163"/>
      <c r="AD8" s="152">
        <f aca="true" t="shared" si="0" ref="AD8:AD40">AE8+AF8</f>
        <v>14905910</v>
      </c>
      <c r="AE8" s="164"/>
      <c r="AF8" s="165">
        <f>SUM(AF9:AF46)</f>
        <v>14905910</v>
      </c>
      <c r="AG8" s="165">
        <f>SUM(AG9:AG46)</f>
        <v>14905910</v>
      </c>
      <c r="AH8" s="165">
        <f>SUM(AH9:AH46)</f>
        <v>3257434.0499999975</v>
      </c>
      <c r="AI8" s="33">
        <f aca="true" t="shared" si="1" ref="AI8:AI41">AH8/AF8*100</f>
        <v>21.853305500972418</v>
      </c>
    </row>
    <row r="9" spans="1:35" s="145" customFormat="1" ht="75">
      <c r="A9" s="136"/>
      <c r="B9" s="149" t="s">
        <v>141</v>
      </c>
      <c r="C9" s="137"/>
      <c r="D9" s="127" t="s">
        <v>183</v>
      </c>
      <c r="E9" s="17"/>
      <c r="F9" s="17"/>
      <c r="G9" s="17"/>
      <c r="H9" s="17"/>
      <c r="I9" s="17"/>
      <c r="J9" s="136"/>
      <c r="K9" s="136"/>
      <c r="L9" s="136"/>
      <c r="M9" s="136"/>
      <c r="N9" s="136"/>
      <c r="O9" s="136"/>
      <c r="P9" s="136"/>
      <c r="Q9" s="138"/>
      <c r="R9" s="138"/>
      <c r="S9" s="139"/>
      <c r="T9" s="140"/>
      <c r="U9" s="140"/>
      <c r="V9" s="140"/>
      <c r="W9" s="140"/>
      <c r="X9" s="138"/>
      <c r="Y9" s="138"/>
      <c r="Z9" s="141"/>
      <c r="AA9" s="141"/>
      <c r="AB9" s="142"/>
      <c r="AC9" s="143"/>
      <c r="AD9" s="146">
        <f t="shared" si="0"/>
        <v>3938841.4</v>
      </c>
      <c r="AE9" s="144"/>
      <c r="AF9" s="126">
        <v>3938841.4</v>
      </c>
      <c r="AG9" s="91">
        <f aca="true" t="shared" si="2" ref="AG9:AG46">AF9</f>
        <v>3938841.4</v>
      </c>
      <c r="AH9" s="91">
        <f>200937.6+366000+363000+257196+10861+273900+91268.4+179102.4+12734+701400+57477.6</f>
        <v>2513877</v>
      </c>
      <c r="AI9" s="75">
        <f t="shared" si="1"/>
        <v>63.822752548503225</v>
      </c>
    </row>
    <row r="10" spans="1:35" s="145" customFormat="1" ht="37.5">
      <c r="A10" s="136"/>
      <c r="B10" s="149" t="s">
        <v>94</v>
      </c>
      <c r="C10" s="137"/>
      <c r="D10" s="252" t="s">
        <v>198</v>
      </c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4"/>
      <c r="Q10" s="255"/>
      <c r="R10" s="255"/>
      <c r="S10" s="256"/>
      <c r="T10" s="257"/>
      <c r="U10" s="257"/>
      <c r="V10" s="257"/>
      <c r="W10" s="257"/>
      <c r="X10" s="255"/>
      <c r="Y10" s="255"/>
      <c r="Z10" s="255"/>
      <c r="AA10" s="255"/>
      <c r="AB10" s="142"/>
      <c r="AC10" s="258"/>
      <c r="AD10" s="178">
        <f t="shared" si="0"/>
        <v>106000</v>
      </c>
      <c r="AE10" s="144"/>
      <c r="AF10" s="125">
        <v>106000</v>
      </c>
      <c r="AG10" s="91">
        <f t="shared" si="2"/>
        <v>106000</v>
      </c>
      <c r="AH10" s="181">
        <v>6999.8</v>
      </c>
      <c r="AI10" s="75">
        <f t="shared" si="1"/>
        <v>6.6035849056603775</v>
      </c>
    </row>
    <row r="11" spans="1:35" s="145" customFormat="1" ht="37.5">
      <c r="A11" s="136"/>
      <c r="B11" s="149" t="s">
        <v>95</v>
      </c>
      <c r="C11" s="137"/>
      <c r="D11" s="252" t="s">
        <v>199</v>
      </c>
      <c r="E11" s="253"/>
      <c r="F11" s="253"/>
      <c r="G11" s="253"/>
      <c r="H11" s="253"/>
      <c r="I11" s="253"/>
      <c r="J11" s="254"/>
      <c r="K11" s="254"/>
      <c r="L11" s="254"/>
      <c r="M11" s="254"/>
      <c r="N11" s="254"/>
      <c r="O11" s="254"/>
      <c r="P11" s="254"/>
      <c r="Q11" s="255"/>
      <c r="R11" s="255"/>
      <c r="S11" s="256"/>
      <c r="T11" s="257"/>
      <c r="U11" s="257"/>
      <c r="V11" s="257"/>
      <c r="W11" s="257"/>
      <c r="X11" s="255"/>
      <c r="Y11" s="255"/>
      <c r="Z11" s="255"/>
      <c r="AA11" s="255"/>
      <c r="AB11" s="142"/>
      <c r="AC11" s="258"/>
      <c r="AD11" s="178">
        <f t="shared" si="0"/>
        <v>72000</v>
      </c>
      <c r="AE11" s="144"/>
      <c r="AF11" s="125">
        <v>72000</v>
      </c>
      <c r="AG11" s="91">
        <f t="shared" si="2"/>
        <v>72000</v>
      </c>
      <c r="AH11" s="181">
        <v>5999.8</v>
      </c>
      <c r="AI11" s="75">
        <f t="shared" si="1"/>
        <v>8.333055555555555</v>
      </c>
    </row>
    <row r="12" spans="1:35" s="145" customFormat="1" ht="37.5">
      <c r="A12" s="136"/>
      <c r="B12" s="149" t="s">
        <v>96</v>
      </c>
      <c r="C12" s="137"/>
      <c r="D12" s="252" t="s">
        <v>200</v>
      </c>
      <c r="E12" s="253"/>
      <c r="F12" s="253"/>
      <c r="G12" s="253"/>
      <c r="H12" s="253"/>
      <c r="I12" s="253"/>
      <c r="J12" s="254"/>
      <c r="K12" s="254"/>
      <c r="L12" s="254"/>
      <c r="M12" s="254"/>
      <c r="N12" s="254"/>
      <c r="O12" s="254"/>
      <c r="P12" s="254"/>
      <c r="Q12" s="255"/>
      <c r="R12" s="255"/>
      <c r="S12" s="256"/>
      <c r="T12" s="257"/>
      <c r="U12" s="257"/>
      <c r="V12" s="257"/>
      <c r="W12" s="257"/>
      <c r="X12" s="255"/>
      <c r="Y12" s="255"/>
      <c r="Z12" s="255"/>
      <c r="AA12" s="255"/>
      <c r="AB12" s="142"/>
      <c r="AC12" s="258"/>
      <c r="AD12" s="178">
        <f t="shared" si="0"/>
        <v>72000</v>
      </c>
      <c r="AE12" s="144"/>
      <c r="AF12" s="125">
        <v>72000</v>
      </c>
      <c r="AG12" s="91">
        <f t="shared" si="2"/>
        <v>72000</v>
      </c>
      <c r="AH12" s="181">
        <v>5999.8</v>
      </c>
      <c r="AI12" s="75">
        <f t="shared" si="1"/>
        <v>8.333055555555555</v>
      </c>
    </row>
    <row r="13" spans="1:35" s="145" customFormat="1" ht="19.5">
      <c r="A13" s="136"/>
      <c r="B13" s="149" t="s">
        <v>97</v>
      </c>
      <c r="C13" s="137"/>
      <c r="D13" s="252" t="s">
        <v>201</v>
      </c>
      <c r="E13" s="253"/>
      <c r="F13" s="253"/>
      <c r="G13" s="253"/>
      <c r="H13" s="253"/>
      <c r="I13" s="253"/>
      <c r="J13" s="254"/>
      <c r="K13" s="254"/>
      <c r="L13" s="254"/>
      <c r="M13" s="254"/>
      <c r="N13" s="254"/>
      <c r="O13" s="254"/>
      <c r="P13" s="254"/>
      <c r="Q13" s="255"/>
      <c r="R13" s="255"/>
      <c r="S13" s="256"/>
      <c r="T13" s="257"/>
      <c r="U13" s="257"/>
      <c r="V13" s="257"/>
      <c r="W13" s="257"/>
      <c r="X13" s="255"/>
      <c r="Y13" s="255"/>
      <c r="Z13" s="255"/>
      <c r="AA13" s="255"/>
      <c r="AB13" s="142"/>
      <c r="AC13" s="258"/>
      <c r="AD13" s="178">
        <f t="shared" si="0"/>
        <v>114000</v>
      </c>
      <c r="AE13" s="144"/>
      <c r="AF13" s="125">
        <v>114000</v>
      </c>
      <c r="AG13" s="91">
        <f t="shared" si="2"/>
        <v>114000</v>
      </c>
      <c r="AH13" s="181">
        <v>7999.8</v>
      </c>
      <c r="AI13" s="75">
        <f t="shared" si="1"/>
        <v>7.017368421052632</v>
      </c>
    </row>
    <row r="14" spans="1:35" s="145" customFormat="1" ht="19.5">
      <c r="A14" s="136"/>
      <c r="B14" s="149" t="s">
        <v>128</v>
      </c>
      <c r="C14" s="137"/>
      <c r="D14" s="252" t="s">
        <v>202</v>
      </c>
      <c r="E14" s="253"/>
      <c r="F14" s="253"/>
      <c r="G14" s="253"/>
      <c r="H14" s="253"/>
      <c r="I14" s="253"/>
      <c r="J14" s="254"/>
      <c r="K14" s="254"/>
      <c r="L14" s="254"/>
      <c r="M14" s="254"/>
      <c r="N14" s="254"/>
      <c r="O14" s="254"/>
      <c r="P14" s="254"/>
      <c r="Q14" s="255"/>
      <c r="R14" s="255"/>
      <c r="S14" s="256"/>
      <c r="T14" s="257"/>
      <c r="U14" s="257"/>
      <c r="V14" s="257"/>
      <c r="W14" s="257"/>
      <c r="X14" s="255"/>
      <c r="Y14" s="255"/>
      <c r="Z14" s="255"/>
      <c r="AA14" s="255"/>
      <c r="AB14" s="142"/>
      <c r="AC14" s="258"/>
      <c r="AD14" s="178">
        <f t="shared" si="0"/>
        <v>72000</v>
      </c>
      <c r="AE14" s="144"/>
      <c r="AF14" s="125">
        <v>72000</v>
      </c>
      <c r="AG14" s="91">
        <f t="shared" si="2"/>
        <v>72000</v>
      </c>
      <c r="AH14" s="181">
        <v>5999.8</v>
      </c>
      <c r="AI14" s="75">
        <f t="shared" si="1"/>
        <v>8.333055555555555</v>
      </c>
    </row>
    <row r="15" spans="1:35" s="145" customFormat="1" ht="19.5">
      <c r="A15" s="136"/>
      <c r="B15" s="149" t="s">
        <v>132</v>
      </c>
      <c r="C15" s="137"/>
      <c r="D15" s="252" t="s">
        <v>203</v>
      </c>
      <c r="E15" s="253"/>
      <c r="F15" s="253"/>
      <c r="G15" s="253"/>
      <c r="H15" s="253"/>
      <c r="I15" s="253"/>
      <c r="J15" s="254"/>
      <c r="K15" s="254"/>
      <c r="L15" s="254"/>
      <c r="M15" s="254"/>
      <c r="N15" s="254"/>
      <c r="O15" s="254"/>
      <c r="P15" s="254"/>
      <c r="Q15" s="255"/>
      <c r="R15" s="255"/>
      <c r="S15" s="256"/>
      <c r="T15" s="257"/>
      <c r="U15" s="257"/>
      <c r="V15" s="257"/>
      <c r="W15" s="257"/>
      <c r="X15" s="255"/>
      <c r="Y15" s="255"/>
      <c r="Z15" s="255"/>
      <c r="AA15" s="255"/>
      <c r="AB15" s="142"/>
      <c r="AC15" s="258"/>
      <c r="AD15" s="178">
        <f t="shared" si="0"/>
        <v>72000</v>
      </c>
      <c r="AE15" s="144"/>
      <c r="AF15" s="125">
        <v>72000</v>
      </c>
      <c r="AG15" s="91">
        <f t="shared" si="2"/>
        <v>72000</v>
      </c>
      <c r="AH15" s="181">
        <v>5999.8</v>
      </c>
      <c r="AI15" s="75">
        <f t="shared" si="1"/>
        <v>8.333055555555555</v>
      </c>
    </row>
    <row r="16" spans="1:35" s="145" customFormat="1" ht="19.5">
      <c r="A16" s="136"/>
      <c r="B16" s="149" t="s">
        <v>88</v>
      </c>
      <c r="C16" s="137"/>
      <c r="D16" s="252" t="s">
        <v>204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5"/>
      <c r="R16" s="255"/>
      <c r="S16" s="256"/>
      <c r="T16" s="257"/>
      <c r="U16" s="257"/>
      <c r="V16" s="257"/>
      <c r="W16" s="257"/>
      <c r="X16" s="255"/>
      <c r="Y16" s="255"/>
      <c r="Z16" s="255"/>
      <c r="AA16" s="255"/>
      <c r="AB16" s="142"/>
      <c r="AC16" s="258"/>
      <c r="AD16" s="178">
        <f t="shared" si="0"/>
        <v>164000</v>
      </c>
      <c r="AE16" s="144"/>
      <c r="AF16" s="125">
        <v>164000</v>
      </c>
      <c r="AG16" s="91">
        <f t="shared" si="2"/>
        <v>164000</v>
      </c>
      <c r="AH16" s="181">
        <v>10499.8</v>
      </c>
      <c r="AI16" s="75">
        <f t="shared" si="1"/>
        <v>6.402317073170731</v>
      </c>
    </row>
    <row r="17" spans="1:35" s="145" customFormat="1" ht="19.5">
      <c r="A17" s="136"/>
      <c r="B17" s="149" t="s">
        <v>148</v>
      </c>
      <c r="C17" s="137"/>
      <c r="D17" s="252" t="s">
        <v>205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5"/>
      <c r="R17" s="255"/>
      <c r="S17" s="256"/>
      <c r="T17" s="257"/>
      <c r="U17" s="257"/>
      <c r="V17" s="257"/>
      <c r="W17" s="257"/>
      <c r="X17" s="255"/>
      <c r="Y17" s="255"/>
      <c r="Z17" s="255"/>
      <c r="AA17" s="255"/>
      <c r="AB17" s="142"/>
      <c r="AC17" s="258"/>
      <c r="AD17" s="178">
        <f t="shared" si="0"/>
        <v>105000</v>
      </c>
      <c r="AE17" s="144"/>
      <c r="AF17" s="125">
        <v>105000</v>
      </c>
      <c r="AG17" s="91">
        <f t="shared" si="2"/>
        <v>105000</v>
      </c>
      <c r="AH17" s="181">
        <v>7499.8</v>
      </c>
      <c r="AI17" s="75">
        <f t="shared" si="1"/>
        <v>7.142666666666667</v>
      </c>
    </row>
    <row r="18" spans="1:35" s="145" customFormat="1" ht="19.5">
      <c r="A18" s="136"/>
      <c r="B18" s="149" t="s">
        <v>155</v>
      </c>
      <c r="C18" s="137"/>
      <c r="D18" s="252" t="s">
        <v>215</v>
      </c>
      <c r="E18" s="253"/>
      <c r="F18" s="253"/>
      <c r="G18" s="253"/>
      <c r="H18" s="253"/>
      <c r="I18" s="253"/>
      <c r="J18" s="254"/>
      <c r="K18" s="254"/>
      <c r="L18" s="254"/>
      <c r="M18" s="254"/>
      <c r="N18" s="254"/>
      <c r="O18" s="254"/>
      <c r="P18" s="254"/>
      <c r="Q18" s="255"/>
      <c r="R18" s="255"/>
      <c r="S18" s="256"/>
      <c r="T18" s="257"/>
      <c r="U18" s="257"/>
      <c r="V18" s="257"/>
      <c r="W18" s="257"/>
      <c r="X18" s="255"/>
      <c r="Y18" s="255"/>
      <c r="Z18" s="255"/>
      <c r="AA18" s="255"/>
      <c r="AB18" s="142"/>
      <c r="AC18" s="258"/>
      <c r="AD18" s="178">
        <f t="shared" si="0"/>
        <v>40000</v>
      </c>
      <c r="AE18" s="144"/>
      <c r="AF18" s="125">
        <v>40000</v>
      </c>
      <c r="AG18" s="91">
        <f t="shared" si="2"/>
        <v>40000</v>
      </c>
      <c r="AH18" s="181">
        <v>3999.8</v>
      </c>
      <c r="AI18" s="75">
        <f t="shared" si="1"/>
        <v>9.9995</v>
      </c>
    </row>
    <row r="19" spans="1:35" s="145" customFormat="1" ht="19.5">
      <c r="A19" s="136"/>
      <c r="B19" s="149" t="s">
        <v>159</v>
      </c>
      <c r="C19" s="137"/>
      <c r="D19" s="252" t="s">
        <v>206</v>
      </c>
      <c r="E19" s="253"/>
      <c r="F19" s="253"/>
      <c r="G19" s="253"/>
      <c r="H19" s="253"/>
      <c r="I19" s="253"/>
      <c r="J19" s="254"/>
      <c r="K19" s="254"/>
      <c r="L19" s="254"/>
      <c r="M19" s="254"/>
      <c r="N19" s="254"/>
      <c r="O19" s="254"/>
      <c r="P19" s="254"/>
      <c r="Q19" s="255"/>
      <c r="R19" s="255"/>
      <c r="S19" s="256"/>
      <c r="T19" s="257"/>
      <c r="U19" s="257"/>
      <c r="V19" s="257"/>
      <c r="W19" s="257"/>
      <c r="X19" s="255"/>
      <c r="Y19" s="255"/>
      <c r="Z19" s="255"/>
      <c r="AA19" s="255"/>
      <c r="AB19" s="142"/>
      <c r="AC19" s="258"/>
      <c r="AD19" s="178">
        <f t="shared" si="0"/>
        <v>72000</v>
      </c>
      <c r="AE19" s="144"/>
      <c r="AF19" s="125">
        <v>72000</v>
      </c>
      <c r="AG19" s="91">
        <f t="shared" si="2"/>
        <v>72000</v>
      </c>
      <c r="AH19" s="181">
        <v>5999.8</v>
      </c>
      <c r="AI19" s="75">
        <f t="shared" si="1"/>
        <v>8.333055555555555</v>
      </c>
    </row>
    <row r="20" spans="1:35" s="145" customFormat="1" ht="19.5">
      <c r="A20" s="136"/>
      <c r="B20" s="149" t="s">
        <v>0</v>
      </c>
      <c r="C20" s="137"/>
      <c r="D20" s="252" t="s">
        <v>207</v>
      </c>
      <c r="E20" s="253"/>
      <c r="F20" s="253"/>
      <c r="G20" s="253"/>
      <c r="H20" s="253"/>
      <c r="I20" s="253"/>
      <c r="J20" s="254"/>
      <c r="K20" s="254"/>
      <c r="L20" s="254"/>
      <c r="M20" s="254"/>
      <c r="N20" s="254"/>
      <c r="O20" s="254"/>
      <c r="P20" s="254"/>
      <c r="Q20" s="255"/>
      <c r="R20" s="255"/>
      <c r="S20" s="256"/>
      <c r="T20" s="257"/>
      <c r="U20" s="257"/>
      <c r="V20" s="257"/>
      <c r="W20" s="257"/>
      <c r="X20" s="255"/>
      <c r="Y20" s="255"/>
      <c r="Z20" s="255"/>
      <c r="AA20" s="255"/>
      <c r="AB20" s="142"/>
      <c r="AC20" s="258"/>
      <c r="AD20" s="178">
        <f t="shared" si="0"/>
        <v>72000</v>
      </c>
      <c r="AE20" s="144"/>
      <c r="AF20" s="125">
        <v>72000</v>
      </c>
      <c r="AG20" s="91">
        <f t="shared" si="2"/>
        <v>72000</v>
      </c>
      <c r="AH20" s="181">
        <v>5999.8</v>
      </c>
      <c r="AI20" s="75">
        <f t="shared" si="1"/>
        <v>8.333055555555555</v>
      </c>
    </row>
    <row r="21" spans="1:35" s="145" customFormat="1" ht="37.5">
      <c r="A21" s="136"/>
      <c r="B21" s="149" t="s">
        <v>1</v>
      </c>
      <c r="C21" s="137"/>
      <c r="D21" s="259" t="s">
        <v>216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5"/>
      <c r="R21" s="255"/>
      <c r="S21" s="256"/>
      <c r="T21" s="257"/>
      <c r="U21" s="257"/>
      <c r="V21" s="257"/>
      <c r="W21" s="257"/>
      <c r="X21" s="255"/>
      <c r="Y21" s="255"/>
      <c r="Z21" s="255"/>
      <c r="AA21" s="255"/>
      <c r="AB21" s="142"/>
      <c r="AC21" s="258"/>
      <c r="AD21" s="178">
        <f t="shared" si="0"/>
        <v>112000</v>
      </c>
      <c r="AE21" s="144"/>
      <c r="AF21" s="125">
        <v>112000</v>
      </c>
      <c r="AG21" s="91">
        <f t="shared" si="2"/>
        <v>112000</v>
      </c>
      <c r="AH21" s="181">
        <v>7999.8</v>
      </c>
      <c r="AI21" s="75">
        <f t="shared" si="1"/>
        <v>7.142678571428572</v>
      </c>
    </row>
    <row r="22" spans="1:35" s="145" customFormat="1" ht="37.5">
      <c r="A22" s="136"/>
      <c r="B22" s="149" t="s">
        <v>2</v>
      </c>
      <c r="C22" s="137"/>
      <c r="D22" s="259" t="s">
        <v>217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5"/>
      <c r="R22" s="255"/>
      <c r="S22" s="256"/>
      <c r="T22" s="257"/>
      <c r="U22" s="257"/>
      <c r="V22" s="257"/>
      <c r="W22" s="257"/>
      <c r="X22" s="255"/>
      <c r="Y22" s="255"/>
      <c r="Z22" s="255"/>
      <c r="AA22" s="255"/>
      <c r="AB22" s="142"/>
      <c r="AC22" s="258"/>
      <c r="AD22" s="178">
        <f t="shared" si="0"/>
        <v>238000</v>
      </c>
      <c r="AE22" s="144"/>
      <c r="AF22" s="125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5" customFormat="1" ht="37.5">
      <c r="A23" s="136"/>
      <c r="B23" s="149" t="s">
        <v>3</v>
      </c>
      <c r="C23" s="137"/>
      <c r="D23" s="259" t="s">
        <v>218</v>
      </c>
      <c r="E23" s="253"/>
      <c r="F23" s="253"/>
      <c r="G23" s="253"/>
      <c r="H23" s="253"/>
      <c r="I23" s="253"/>
      <c r="J23" s="254"/>
      <c r="K23" s="254"/>
      <c r="L23" s="254"/>
      <c r="M23" s="254"/>
      <c r="N23" s="254"/>
      <c r="O23" s="254"/>
      <c r="P23" s="254"/>
      <c r="Q23" s="255"/>
      <c r="R23" s="255"/>
      <c r="S23" s="256"/>
      <c r="T23" s="257"/>
      <c r="U23" s="257"/>
      <c r="V23" s="257"/>
      <c r="W23" s="257"/>
      <c r="X23" s="255"/>
      <c r="Y23" s="255"/>
      <c r="Z23" s="255"/>
      <c r="AA23" s="255"/>
      <c r="AB23" s="142"/>
      <c r="AC23" s="258"/>
      <c r="AD23" s="178">
        <f t="shared" si="0"/>
        <v>238000</v>
      </c>
      <c r="AE23" s="144"/>
      <c r="AF23" s="125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5" customFormat="1" ht="37.5">
      <c r="A24" s="136"/>
      <c r="B24" s="149" t="s">
        <v>4</v>
      </c>
      <c r="C24" s="137"/>
      <c r="D24" s="259" t="s">
        <v>219</v>
      </c>
      <c r="E24" s="253"/>
      <c r="F24" s="253"/>
      <c r="G24" s="253"/>
      <c r="H24" s="253"/>
      <c r="I24" s="253"/>
      <c r="J24" s="254"/>
      <c r="K24" s="254"/>
      <c r="L24" s="254"/>
      <c r="M24" s="254"/>
      <c r="N24" s="254"/>
      <c r="O24" s="254"/>
      <c r="P24" s="254"/>
      <c r="Q24" s="255"/>
      <c r="R24" s="255"/>
      <c r="S24" s="256"/>
      <c r="T24" s="257"/>
      <c r="U24" s="257"/>
      <c r="V24" s="257"/>
      <c r="W24" s="257"/>
      <c r="X24" s="255"/>
      <c r="Y24" s="255"/>
      <c r="Z24" s="255"/>
      <c r="AA24" s="255"/>
      <c r="AB24" s="142"/>
      <c r="AC24" s="258"/>
      <c r="AD24" s="178">
        <f t="shared" si="0"/>
        <v>100000</v>
      </c>
      <c r="AE24" s="144"/>
      <c r="AF24" s="125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5" customFormat="1" ht="37.5">
      <c r="A25" s="136"/>
      <c r="B25" s="149" t="s">
        <v>5</v>
      </c>
      <c r="C25" s="137"/>
      <c r="D25" s="259" t="s">
        <v>220</v>
      </c>
      <c r="E25" s="253"/>
      <c r="F25" s="253"/>
      <c r="G25" s="253"/>
      <c r="H25" s="253"/>
      <c r="I25" s="253"/>
      <c r="J25" s="254"/>
      <c r="K25" s="254"/>
      <c r="L25" s="254"/>
      <c r="M25" s="254"/>
      <c r="N25" s="254"/>
      <c r="O25" s="254"/>
      <c r="P25" s="254"/>
      <c r="Q25" s="255"/>
      <c r="R25" s="255"/>
      <c r="S25" s="256"/>
      <c r="T25" s="257"/>
      <c r="U25" s="257"/>
      <c r="V25" s="257"/>
      <c r="W25" s="257"/>
      <c r="X25" s="255"/>
      <c r="Y25" s="255"/>
      <c r="Z25" s="255"/>
      <c r="AA25" s="255"/>
      <c r="AB25" s="142"/>
      <c r="AC25" s="258"/>
      <c r="AD25" s="178">
        <f t="shared" si="0"/>
        <v>100000</v>
      </c>
      <c r="AE25" s="144"/>
      <c r="AF25" s="125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5" customFormat="1" ht="37.5">
      <c r="A26" s="136"/>
      <c r="B26" s="149" t="s">
        <v>6</v>
      </c>
      <c r="C26" s="137"/>
      <c r="D26" s="259" t="s">
        <v>221</v>
      </c>
      <c r="E26" s="253"/>
      <c r="F26" s="253"/>
      <c r="G26" s="253"/>
      <c r="H26" s="253"/>
      <c r="I26" s="253"/>
      <c r="J26" s="254"/>
      <c r="K26" s="254"/>
      <c r="L26" s="254"/>
      <c r="M26" s="254"/>
      <c r="N26" s="254"/>
      <c r="O26" s="254"/>
      <c r="P26" s="254"/>
      <c r="Q26" s="255"/>
      <c r="R26" s="255"/>
      <c r="S26" s="256"/>
      <c r="T26" s="257"/>
      <c r="U26" s="257"/>
      <c r="V26" s="257"/>
      <c r="W26" s="257"/>
      <c r="X26" s="255"/>
      <c r="Y26" s="255"/>
      <c r="Z26" s="255"/>
      <c r="AA26" s="255"/>
      <c r="AB26" s="142"/>
      <c r="AC26" s="258"/>
      <c r="AD26" s="178">
        <f t="shared" si="0"/>
        <v>121000</v>
      </c>
      <c r="AE26" s="144"/>
      <c r="AF26" s="125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5" customFormat="1" ht="37.5">
      <c r="A27" s="136"/>
      <c r="B27" s="149" t="s">
        <v>7</v>
      </c>
      <c r="C27" s="137"/>
      <c r="D27" s="259" t="s">
        <v>222</v>
      </c>
      <c r="E27" s="253"/>
      <c r="F27" s="253"/>
      <c r="G27" s="253"/>
      <c r="H27" s="253"/>
      <c r="I27" s="253"/>
      <c r="J27" s="254"/>
      <c r="K27" s="254"/>
      <c r="L27" s="254"/>
      <c r="M27" s="254"/>
      <c r="N27" s="254"/>
      <c r="O27" s="254"/>
      <c r="P27" s="254"/>
      <c r="Q27" s="255"/>
      <c r="R27" s="255"/>
      <c r="S27" s="256"/>
      <c r="T27" s="257"/>
      <c r="U27" s="257"/>
      <c r="V27" s="257"/>
      <c r="W27" s="257"/>
      <c r="X27" s="255"/>
      <c r="Y27" s="255"/>
      <c r="Z27" s="255"/>
      <c r="AA27" s="255"/>
      <c r="AB27" s="142"/>
      <c r="AC27" s="258"/>
      <c r="AD27" s="178">
        <f t="shared" si="0"/>
        <v>130000</v>
      </c>
      <c r="AE27" s="144"/>
      <c r="AF27" s="125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5" customFormat="1" ht="37.5">
      <c r="A28" s="136"/>
      <c r="B28" s="149" t="s">
        <v>8</v>
      </c>
      <c r="C28" s="137"/>
      <c r="D28" s="259" t="s">
        <v>223</v>
      </c>
      <c r="E28" s="253"/>
      <c r="F28" s="253"/>
      <c r="G28" s="253"/>
      <c r="H28" s="253"/>
      <c r="I28" s="253"/>
      <c r="J28" s="254"/>
      <c r="K28" s="254"/>
      <c r="L28" s="254"/>
      <c r="M28" s="254"/>
      <c r="N28" s="254"/>
      <c r="O28" s="254"/>
      <c r="P28" s="254"/>
      <c r="Q28" s="255"/>
      <c r="R28" s="255"/>
      <c r="S28" s="256"/>
      <c r="T28" s="257"/>
      <c r="U28" s="257"/>
      <c r="V28" s="257"/>
      <c r="W28" s="257"/>
      <c r="X28" s="255"/>
      <c r="Y28" s="255"/>
      <c r="Z28" s="255"/>
      <c r="AA28" s="255"/>
      <c r="AB28" s="142"/>
      <c r="AC28" s="258"/>
      <c r="AD28" s="178">
        <f t="shared" si="0"/>
        <v>50000</v>
      </c>
      <c r="AE28" s="144"/>
      <c r="AF28" s="125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5" customFormat="1" ht="37.5">
      <c r="A29" s="136"/>
      <c r="B29" s="149" t="s">
        <v>9</v>
      </c>
      <c r="C29" s="137"/>
      <c r="D29" s="260" t="s">
        <v>188</v>
      </c>
      <c r="E29" s="253"/>
      <c r="F29" s="253"/>
      <c r="G29" s="253"/>
      <c r="H29" s="253"/>
      <c r="I29" s="253"/>
      <c r="J29" s="254"/>
      <c r="K29" s="254"/>
      <c r="L29" s="254"/>
      <c r="M29" s="254"/>
      <c r="N29" s="254"/>
      <c r="O29" s="254"/>
      <c r="P29" s="254"/>
      <c r="Q29" s="255"/>
      <c r="R29" s="255"/>
      <c r="S29" s="256"/>
      <c r="T29" s="257"/>
      <c r="U29" s="257"/>
      <c r="V29" s="257"/>
      <c r="W29" s="257"/>
      <c r="X29" s="255"/>
      <c r="Y29" s="255"/>
      <c r="Z29" s="255"/>
      <c r="AA29" s="255"/>
      <c r="AB29" s="142"/>
      <c r="AC29" s="258"/>
      <c r="AD29" s="178">
        <f t="shared" si="0"/>
        <v>42000</v>
      </c>
      <c r="AE29" s="144"/>
      <c r="AF29" s="125">
        <v>42000</v>
      </c>
      <c r="AG29" s="91">
        <f t="shared" si="2"/>
        <v>42000</v>
      </c>
      <c r="AH29" s="238"/>
      <c r="AI29" s="75">
        <f t="shared" si="1"/>
        <v>0</v>
      </c>
    </row>
    <row r="30" spans="1:35" s="145" customFormat="1" ht="37.5">
      <c r="A30" s="136"/>
      <c r="B30" s="149" t="s">
        <v>10</v>
      </c>
      <c r="C30" s="137"/>
      <c r="D30" s="260" t="s">
        <v>189</v>
      </c>
      <c r="E30" s="253"/>
      <c r="F30" s="253"/>
      <c r="G30" s="253"/>
      <c r="H30" s="253"/>
      <c r="I30" s="253"/>
      <c r="J30" s="254"/>
      <c r="K30" s="254"/>
      <c r="L30" s="254"/>
      <c r="M30" s="254"/>
      <c r="N30" s="254"/>
      <c r="O30" s="254"/>
      <c r="P30" s="254"/>
      <c r="Q30" s="255"/>
      <c r="R30" s="255"/>
      <c r="S30" s="256"/>
      <c r="T30" s="257"/>
      <c r="U30" s="257"/>
      <c r="V30" s="257"/>
      <c r="W30" s="257"/>
      <c r="X30" s="255"/>
      <c r="Y30" s="255"/>
      <c r="Z30" s="255"/>
      <c r="AA30" s="255"/>
      <c r="AB30" s="142"/>
      <c r="AC30" s="258"/>
      <c r="AD30" s="178">
        <f t="shared" si="0"/>
        <v>265000</v>
      </c>
      <c r="AE30" s="144"/>
      <c r="AF30" s="125">
        <v>265000</v>
      </c>
      <c r="AG30" s="91">
        <f t="shared" si="2"/>
        <v>265000</v>
      </c>
      <c r="AH30" s="239"/>
      <c r="AI30" s="75">
        <f t="shared" si="1"/>
        <v>0</v>
      </c>
    </row>
    <row r="31" spans="1:35" s="145" customFormat="1" ht="37.5">
      <c r="A31" s="136"/>
      <c r="B31" s="149" t="s">
        <v>11</v>
      </c>
      <c r="C31" s="137"/>
      <c r="D31" s="260" t="s">
        <v>184</v>
      </c>
      <c r="E31" s="253"/>
      <c r="F31" s="253"/>
      <c r="G31" s="253"/>
      <c r="H31" s="253"/>
      <c r="I31" s="253"/>
      <c r="J31" s="254"/>
      <c r="K31" s="254"/>
      <c r="L31" s="254"/>
      <c r="M31" s="254"/>
      <c r="N31" s="254"/>
      <c r="O31" s="254"/>
      <c r="P31" s="254"/>
      <c r="Q31" s="255"/>
      <c r="R31" s="255"/>
      <c r="S31" s="256"/>
      <c r="T31" s="257"/>
      <c r="U31" s="257"/>
      <c r="V31" s="257"/>
      <c r="W31" s="257"/>
      <c r="X31" s="255"/>
      <c r="Y31" s="255"/>
      <c r="Z31" s="255"/>
      <c r="AA31" s="255"/>
      <c r="AB31" s="142"/>
      <c r="AC31" s="258"/>
      <c r="AD31" s="178">
        <f t="shared" si="0"/>
        <v>100000</v>
      </c>
      <c r="AE31" s="144"/>
      <c r="AF31" s="125">
        <v>100000</v>
      </c>
      <c r="AG31" s="91">
        <f t="shared" si="2"/>
        <v>100000</v>
      </c>
      <c r="AH31" s="239"/>
      <c r="AI31" s="75">
        <f t="shared" si="1"/>
        <v>0</v>
      </c>
    </row>
    <row r="32" spans="1:35" s="145" customFormat="1" ht="37.5">
      <c r="A32" s="136"/>
      <c r="B32" s="149" t="s">
        <v>12</v>
      </c>
      <c r="C32" s="137"/>
      <c r="D32" s="260" t="s">
        <v>190</v>
      </c>
      <c r="E32" s="253"/>
      <c r="F32" s="253"/>
      <c r="G32" s="253"/>
      <c r="H32" s="253"/>
      <c r="I32" s="253"/>
      <c r="J32" s="254"/>
      <c r="K32" s="254"/>
      <c r="L32" s="254"/>
      <c r="M32" s="254"/>
      <c r="N32" s="254"/>
      <c r="O32" s="254"/>
      <c r="P32" s="254"/>
      <c r="Q32" s="255"/>
      <c r="R32" s="255"/>
      <c r="S32" s="256"/>
      <c r="T32" s="257"/>
      <c r="U32" s="257"/>
      <c r="V32" s="257"/>
      <c r="W32" s="257"/>
      <c r="X32" s="255"/>
      <c r="Y32" s="255"/>
      <c r="Z32" s="255"/>
      <c r="AA32" s="255"/>
      <c r="AB32" s="142"/>
      <c r="AC32" s="258"/>
      <c r="AD32" s="178">
        <f t="shared" si="0"/>
        <v>265000</v>
      </c>
      <c r="AE32" s="144"/>
      <c r="AF32" s="125">
        <v>265000</v>
      </c>
      <c r="AG32" s="91">
        <f t="shared" si="2"/>
        <v>265000</v>
      </c>
      <c r="AH32" s="239"/>
      <c r="AI32" s="75">
        <f t="shared" si="1"/>
        <v>0</v>
      </c>
    </row>
    <row r="33" spans="1:35" s="145" customFormat="1" ht="19.5">
      <c r="A33" s="136"/>
      <c r="B33" s="149" t="s">
        <v>13</v>
      </c>
      <c r="C33" s="137"/>
      <c r="D33" s="260" t="s">
        <v>191</v>
      </c>
      <c r="E33" s="253"/>
      <c r="F33" s="253"/>
      <c r="G33" s="253"/>
      <c r="H33" s="253"/>
      <c r="I33" s="253"/>
      <c r="J33" s="254"/>
      <c r="K33" s="254"/>
      <c r="L33" s="254"/>
      <c r="M33" s="254"/>
      <c r="N33" s="254"/>
      <c r="O33" s="254"/>
      <c r="P33" s="254"/>
      <c r="Q33" s="255"/>
      <c r="R33" s="255"/>
      <c r="S33" s="256"/>
      <c r="T33" s="257"/>
      <c r="U33" s="257"/>
      <c r="V33" s="257"/>
      <c r="W33" s="257"/>
      <c r="X33" s="255"/>
      <c r="Y33" s="255"/>
      <c r="Z33" s="255"/>
      <c r="AA33" s="255"/>
      <c r="AB33" s="142"/>
      <c r="AC33" s="258"/>
      <c r="AD33" s="178">
        <f t="shared" si="0"/>
        <v>400000</v>
      </c>
      <c r="AE33" s="144"/>
      <c r="AF33" s="125">
        <v>400000</v>
      </c>
      <c r="AG33" s="91">
        <f t="shared" si="2"/>
        <v>400000</v>
      </c>
      <c r="AH33" s="239"/>
      <c r="AI33" s="75">
        <f t="shared" si="1"/>
        <v>0</v>
      </c>
    </row>
    <row r="34" spans="1:35" s="145" customFormat="1" ht="37.5">
      <c r="A34" s="136"/>
      <c r="B34" s="149" t="s">
        <v>14</v>
      </c>
      <c r="C34" s="137"/>
      <c r="D34" s="260" t="s">
        <v>192</v>
      </c>
      <c r="E34" s="253"/>
      <c r="F34" s="253"/>
      <c r="G34" s="253"/>
      <c r="H34" s="253"/>
      <c r="I34" s="253"/>
      <c r="J34" s="254"/>
      <c r="K34" s="254"/>
      <c r="L34" s="254"/>
      <c r="M34" s="254"/>
      <c r="N34" s="254"/>
      <c r="O34" s="254"/>
      <c r="P34" s="254"/>
      <c r="Q34" s="255"/>
      <c r="R34" s="255"/>
      <c r="S34" s="256"/>
      <c r="T34" s="257"/>
      <c r="U34" s="257"/>
      <c r="V34" s="257"/>
      <c r="W34" s="257"/>
      <c r="X34" s="255"/>
      <c r="Y34" s="255"/>
      <c r="Z34" s="255"/>
      <c r="AA34" s="255"/>
      <c r="AB34" s="142"/>
      <c r="AC34" s="258"/>
      <c r="AD34" s="178">
        <f t="shared" si="0"/>
        <v>2493000</v>
      </c>
      <c r="AE34" s="144"/>
      <c r="AF34" s="125">
        <v>2493000</v>
      </c>
      <c r="AG34" s="91">
        <f t="shared" si="2"/>
        <v>2493000</v>
      </c>
      <c r="AH34" s="240">
        <f>19998.84</f>
        <v>19998.84</v>
      </c>
      <c r="AI34" s="75">
        <f t="shared" si="1"/>
        <v>0.8021997593261131</v>
      </c>
    </row>
    <row r="35" spans="1:35" s="145" customFormat="1" ht="19.5">
      <c r="A35" s="136"/>
      <c r="B35" s="149" t="s">
        <v>15</v>
      </c>
      <c r="C35" s="137"/>
      <c r="D35" s="260" t="s">
        <v>193</v>
      </c>
      <c r="E35" s="253"/>
      <c r="F35" s="253"/>
      <c r="G35" s="253"/>
      <c r="H35" s="253"/>
      <c r="I35" s="253"/>
      <c r="J35" s="254"/>
      <c r="K35" s="254"/>
      <c r="L35" s="254"/>
      <c r="M35" s="254"/>
      <c r="N35" s="254"/>
      <c r="O35" s="254"/>
      <c r="P35" s="254"/>
      <c r="Q35" s="255"/>
      <c r="R35" s="255"/>
      <c r="S35" s="256"/>
      <c r="T35" s="257"/>
      <c r="U35" s="257"/>
      <c r="V35" s="257"/>
      <c r="W35" s="257"/>
      <c r="X35" s="255"/>
      <c r="Y35" s="255"/>
      <c r="Z35" s="255"/>
      <c r="AA35" s="255"/>
      <c r="AB35" s="142"/>
      <c r="AC35" s="258"/>
      <c r="AD35" s="178">
        <f t="shared" si="0"/>
        <v>2087910</v>
      </c>
      <c r="AE35" s="144"/>
      <c r="AF35" s="126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5" customFormat="1" ht="37.5">
      <c r="A36" s="136"/>
      <c r="B36" s="149" t="s">
        <v>16</v>
      </c>
      <c r="C36" s="137"/>
      <c r="D36" s="261" t="s">
        <v>194</v>
      </c>
      <c r="E36" s="253"/>
      <c r="F36" s="253"/>
      <c r="G36" s="253"/>
      <c r="H36" s="253"/>
      <c r="I36" s="253"/>
      <c r="J36" s="254"/>
      <c r="K36" s="254"/>
      <c r="L36" s="254"/>
      <c r="M36" s="254"/>
      <c r="N36" s="254"/>
      <c r="O36" s="254"/>
      <c r="P36" s="254"/>
      <c r="Q36" s="255"/>
      <c r="R36" s="255"/>
      <c r="S36" s="256"/>
      <c r="T36" s="257"/>
      <c r="U36" s="257"/>
      <c r="V36" s="257"/>
      <c r="W36" s="257"/>
      <c r="X36" s="255"/>
      <c r="Y36" s="255"/>
      <c r="Z36" s="255"/>
      <c r="AA36" s="255"/>
      <c r="AB36" s="142"/>
      <c r="AC36" s="258"/>
      <c r="AD36" s="178">
        <f t="shared" si="0"/>
        <v>366158.6</v>
      </c>
      <c r="AE36" s="144"/>
      <c r="AF36" s="126">
        <v>366158.6</v>
      </c>
      <c r="AG36" s="91">
        <f t="shared" si="2"/>
        <v>366158.6</v>
      </c>
      <c r="AH36" s="91">
        <f>232868+127807.6</f>
        <v>360675.6</v>
      </c>
      <c r="AI36" s="75">
        <f t="shared" si="1"/>
        <v>98.50256145834074</v>
      </c>
    </row>
    <row r="37" spans="1:35" s="145" customFormat="1" ht="37.5">
      <c r="A37" s="136"/>
      <c r="B37" s="149" t="s">
        <v>17</v>
      </c>
      <c r="C37" s="137"/>
      <c r="D37" s="261" t="s">
        <v>195</v>
      </c>
      <c r="E37" s="253"/>
      <c r="F37" s="253"/>
      <c r="G37" s="253"/>
      <c r="H37" s="253"/>
      <c r="I37" s="253"/>
      <c r="J37" s="254"/>
      <c r="K37" s="254"/>
      <c r="L37" s="254"/>
      <c r="M37" s="254"/>
      <c r="N37" s="254"/>
      <c r="O37" s="254"/>
      <c r="P37" s="254"/>
      <c r="Q37" s="255"/>
      <c r="R37" s="255"/>
      <c r="S37" s="256"/>
      <c r="T37" s="257"/>
      <c r="U37" s="257"/>
      <c r="V37" s="257"/>
      <c r="W37" s="257"/>
      <c r="X37" s="255"/>
      <c r="Y37" s="255"/>
      <c r="Z37" s="255"/>
      <c r="AA37" s="255"/>
      <c r="AB37" s="142"/>
      <c r="AC37" s="258"/>
      <c r="AD37" s="178">
        <f t="shared" si="0"/>
        <v>350000</v>
      </c>
      <c r="AE37" s="144"/>
      <c r="AF37" s="126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5" customFormat="1" ht="19.5">
      <c r="A38" s="136"/>
      <c r="B38" s="149" t="s">
        <v>18</v>
      </c>
      <c r="C38" s="137"/>
      <c r="D38" s="261" t="s">
        <v>196</v>
      </c>
      <c r="E38" s="253"/>
      <c r="F38" s="253"/>
      <c r="G38" s="253"/>
      <c r="H38" s="253"/>
      <c r="I38" s="253"/>
      <c r="J38" s="254"/>
      <c r="K38" s="254"/>
      <c r="L38" s="254"/>
      <c r="M38" s="254"/>
      <c r="N38" s="254"/>
      <c r="O38" s="254"/>
      <c r="P38" s="254"/>
      <c r="Q38" s="255"/>
      <c r="R38" s="255"/>
      <c r="S38" s="256"/>
      <c r="T38" s="257"/>
      <c r="U38" s="257"/>
      <c r="V38" s="257"/>
      <c r="W38" s="257"/>
      <c r="X38" s="255"/>
      <c r="Y38" s="255"/>
      <c r="Z38" s="255"/>
      <c r="AA38" s="255"/>
      <c r="AB38" s="142"/>
      <c r="AC38" s="258"/>
      <c r="AD38" s="178">
        <f t="shared" si="0"/>
        <v>300000</v>
      </c>
      <c r="AE38" s="144"/>
      <c r="AF38" s="126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5" customFormat="1" ht="37.5">
      <c r="A39" s="136"/>
      <c r="B39" s="149" t="s">
        <v>19</v>
      </c>
      <c r="C39" s="137"/>
      <c r="D39" s="261" t="s">
        <v>197</v>
      </c>
      <c r="E39" s="253"/>
      <c r="F39" s="253"/>
      <c r="G39" s="253"/>
      <c r="H39" s="253"/>
      <c r="I39" s="253"/>
      <c r="J39" s="254"/>
      <c r="K39" s="254"/>
      <c r="L39" s="254"/>
      <c r="M39" s="254"/>
      <c r="N39" s="254"/>
      <c r="O39" s="254"/>
      <c r="P39" s="254"/>
      <c r="Q39" s="255"/>
      <c r="R39" s="255"/>
      <c r="S39" s="256"/>
      <c r="T39" s="257"/>
      <c r="U39" s="257"/>
      <c r="V39" s="257"/>
      <c r="W39" s="257"/>
      <c r="X39" s="255"/>
      <c r="Y39" s="255"/>
      <c r="Z39" s="255"/>
      <c r="AA39" s="255"/>
      <c r="AB39" s="142"/>
      <c r="AC39" s="258"/>
      <c r="AD39" s="178">
        <f t="shared" si="0"/>
        <v>595000</v>
      </c>
      <c r="AE39" s="144"/>
      <c r="AF39" s="126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5" customFormat="1" ht="19.5">
      <c r="A40" s="136"/>
      <c r="B40" s="149" t="s">
        <v>20</v>
      </c>
      <c r="C40" s="137"/>
      <c r="D40" s="252" t="s">
        <v>240</v>
      </c>
      <c r="E40" s="253"/>
      <c r="F40" s="253"/>
      <c r="G40" s="253"/>
      <c r="H40" s="253"/>
      <c r="I40" s="253"/>
      <c r="J40" s="254"/>
      <c r="K40" s="254"/>
      <c r="L40" s="254"/>
      <c r="M40" s="254"/>
      <c r="N40" s="254"/>
      <c r="O40" s="254"/>
      <c r="P40" s="254"/>
      <c r="Q40" s="255"/>
      <c r="R40" s="255"/>
      <c r="S40" s="256"/>
      <c r="T40" s="257"/>
      <c r="U40" s="257"/>
      <c r="V40" s="257"/>
      <c r="W40" s="257"/>
      <c r="X40" s="255"/>
      <c r="Y40" s="255"/>
      <c r="Z40" s="255"/>
      <c r="AA40" s="255"/>
      <c r="AB40" s="142"/>
      <c r="AC40" s="258"/>
      <c r="AD40" s="178">
        <f t="shared" si="0"/>
        <v>523000</v>
      </c>
      <c r="AE40" s="144"/>
      <c r="AF40" s="126">
        <v>523000</v>
      </c>
      <c r="AG40" s="91">
        <f t="shared" si="2"/>
        <v>523000</v>
      </c>
      <c r="AH40" s="81"/>
      <c r="AI40" s="75">
        <f t="shared" si="1"/>
        <v>0</v>
      </c>
    </row>
    <row r="41" spans="1:35" s="145" customFormat="1" ht="37.5">
      <c r="A41" s="136"/>
      <c r="B41" s="149" t="s">
        <v>21</v>
      </c>
      <c r="C41" s="137"/>
      <c r="D41" s="252" t="s">
        <v>226</v>
      </c>
      <c r="E41" s="253"/>
      <c r="F41" s="253"/>
      <c r="G41" s="253"/>
      <c r="H41" s="253"/>
      <c r="I41" s="253"/>
      <c r="J41" s="254"/>
      <c r="K41" s="254"/>
      <c r="L41" s="254"/>
      <c r="M41" s="254"/>
      <c r="N41" s="254"/>
      <c r="O41" s="254"/>
      <c r="P41" s="254"/>
      <c r="Q41" s="255"/>
      <c r="R41" s="255"/>
      <c r="S41" s="256"/>
      <c r="T41" s="257"/>
      <c r="U41" s="257"/>
      <c r="V41" s="257"/>
      <c r="W41" s="257"/>
      <c r="X41" s="255"/>
      <c r="Y41" s="255"/>
      <c r="Z41" s="255"/>
      <c r="AA41" s="255"/>
      <c r="AB41" s="142"/>
      <c r="AC41" s="258"/>
      <c r="AD41" s="178">
        <v>100000</v>
      </c>
      <c r="AE41" s="144"/>
      <c r="AF41" s="126">
        <v>100000</v>
      </c>
      <c r="AG41" s="91">
        <f t="shared" si="2"/>
        <v>100000</v>
      </c>
      <c r="AH41" s="81"/>
      <c r="AI41" s="75">
        <f t="shared" si="1"/>
        <v>0</v>
      </c>
    </row>
    <row r="42" spans="1:35" s="145" customFormat="1" ht="37.5">
      <c r="A42" s="136"/>
      <c r="B42" s="149" t="s">
        <v>227</v>
      </c>
      <c r="C42" s="137"/>
      <c r="D42" s="252" t="s">
        <v>228</v>
      </c>
      <c r="E42" s="253"/>
      <c r="F42" s="253"/>
      <c r="G42" s="253"/>
      <c r="H42" s="253"/>
      <c r="I42" s="253"/>
      <c r="J42" s="254"/>
      <c r="K42" s="254"/>
      <c r="L42" s="254"/>
      <c r="M42" s="254"/>
      <c r="N42" s="254"/>
      <c r="O42" s="254"/>
      <c r="P42" s="254"/>
      <c r="Q42" s="255"/>
      <c r="R42" s="255"/>
      <c r="S42" s="256"/>
      <c r="T42" s="257"/>
      <c r="U42" s="257"/>
      <c r="V42" s="257"/>
      <c r="W42" s="257"/>
      <c r="X42" s="255"/>
      <c r="Y42" s="255"/>
      <c r="Z42" s="255"/>
      <c r="AA42" s="255"/>
      <c r="AB42" s="142"/>
      <c r="AC42" s="258"/>
      <c r="AD42" s="178">
        <v>100000</v>
      </c>
      <c r="AE42" s="144"/>
      <c r="AF42" s="126">
        <v>100000</v>
      </c>
      <c r="AG42" s="91">
        <f t="shared" si="2"/>
        <v>100000</v>
      </c>
      <c r="AH42" s="81"/>
      <c r="AI42" s="75"/>
    </row>
    <row r="43" spans="1:35" s="145" customFormat="1" ht="37.5">
      <c r="A43" s="136"/>
      <c r="B43" s="149" t="s">
        <v>229</v>
      </c>
      <c r="C43" s="137"/>
      <c r="D43" s="252" t="s">
        <v>238</v>
      </c>
      <c r="E43" s="253"/>
      <c r="F43" s="253"/>
      <c r="G43" s="253"/>
      <c r="H43" s="253"/>
      <c r="I43" s="253"/>
      <c r="J43" s="254"/>
      <c r="K43" s="254"/>
      <c r="L43" s="254"/>
      <c r="M43" s="254"/>
      <c r="N43" s="254"/>
      <c r="O43" s="254"/>
      <c r="P43" s="254"/>
      <c r="Q43" s="255"/>
      <c r="R43" s="255"/>
      <c r="S43" s="256"/>
      <c r="T43" s="257"/>
      <c r="U43" s="257"/>
      <c r="V43" s="257"/>
      <c r="W43" s="257"/>
      <c r="X43" s="255"/>
      <c r="Y43" s="255"/>
      <c r="Z43" s="255"/>
      <c r="AA43" s="255"/>
      <c r="AB43" s="142"/>
      <c r="AC43" s="258"/>
      <c r="AD43" s="178">
        <v>220000</v>
      </c>
      <c r="AE43" s="144"/>
      <c r="AF43" s="126">
        <v>220000</v>
      </c>
      <c r="AG43" s="91">
        <f t="shared" si="2"/>
        <v>220000</v>
      </c>
      <c r="AH43" s="81"/>
      <c r="AI43" s="75"/>
    </row>
    <row r="44" spans="1:35" s="145" customFormat="1" ht="19.5">
      <c r="A44" s="136"/>
      <c r="B44" s="149" t="s">
        <v>230</v>
      </c>
      <c r="C44" s="137"/>
      <c r="D44" s="252" t="s">
        <v>231</v>
      </c>
      <c r="E44" s="253"/>
      <c r="F44" s="253"/>
      <c r="G44" s="253"/>
      <c r="H44" s="253"/>
      <c r="I44" s="253"/>
      <c r="J44" s="254"/>
      <c r="K44" s="254"/>
      <c r="L44" s="254"/>
      <c r="M44" s="254"/>
      <c r="N44" s="254"/>
      <c r="O44" s="254"/>
      <c r="P44" s="254"/>
      <c r="Q44" s="255"/>
      <c r="R44" s="255"/>
      <c r="S44" s="256"/>
      <c r="T44" s="257"/>
      <c r="U44" s="257"/>
      <c r="V44" s="257"/>
      <c r="W44" s="257"/>
      <c r="X44" s="255"/>
      <c r="Y44" s="255"/>
      <c r="Z44" s="255"/>
      <c r="AA44" s="255"/>
      <c r="AB44" s="142"/>
      <c r="AC44" s="258"/>
      <c r="AD44" s="178">
        <v>60000</v>
      </c>
      <c r="AE44" s="144"/>
      <c r="AF44" s="126">
        <v>60000</v>
      </c>
      <c r="AG44" s="91">
        <f t="shared" si="2"/>
        <v>60000</v>
      </c>
      <c r="AH44" s="81"/>
      <c r="AI44" s="75"/>
    </row>
    <row r="45" spans="1:35" s="145" customFormat="1" ht="37.5">
      <c r="A45" s="136"/>
      <c r="B45" s="149" t="s">
        <v>232</v>
      </c>
      <c r="C45" s="137"/>
      <c r="D45" s="252" t="s">
        <v>234</v>
      </c>
      <c r="E45" s="253"/>
      <c r="F45" s="253"/>
      <c r="G45" s="253"/>
      <c r="H45" s="253"/>
      <c r="I45" s="253"/>
      <c r="J45" s="254"/>
      <c r="K45" s="254"/>
      <c r="L45" s="254"/>
      <c r="M45" s="254"/>
      <c r="N45" s="254"/>
      <c r="O45" s="254"/>
      <c r="P45" s="254"/>
      <c r="Q45" s="255"/>
      <c r="R45" s="255"/>
      <c r="S45" s="256"/>
      <c r="T45" s="257"/>
      <c r="U45" s="257"/>
      <c r="V45" s="257"/>
      <c r="W45" s="257"/>
      <c r="X45" s="255"/>
      <c r="Y45" s="255"/>
      <c r="Z45" s="255"/>
      <c r="AA45" s="255"/>
      <c r="AB45" s="142"/>
      <c r="AC45" s="258"/>
      <c r="AD45" s="178">
        <v>350000</v>
      </c>
      <c r="AE45" s="144"/>
      <c r="AF45" s="126">
        <v>350000</v>
      </c>
      <c r="AG45" s="91">
        <f t="shared" si="2"/>
        <v>350000</v>
      </c>
      <c r="AH45" s="81"/>
      <c r="AI45" s="75"/>
    </row>
    <row r="46" spans="1:35" s="145" customFormat="1" ht="37.5">
      <c r="A46" s="136"/>
      <c r="B46" s="149" t="s">
        <v>232</v>
      </c>
      <c r="C46" s="137"/>
      <c r="D46" s="252" t="s">
        <v>187</v>
      </c>
      <c r="E46" s="253"/>
      <c r="F46" s="253"/>
      <c r="G46" s="253"/>
      <c r="H46" s="253"/>
      <c r="I46" s="253"/>
      <c r="J46" s="254"/>
      <c r="K46" s="254"/>
      <c r="L46" s="254"/>
      <c r="M46" s="254"/>
      <c r="N46" s="254"/>
      <c r="O46" s="254"/>
      <c r="P46" s="254"/>
      <c r="Q46" s="255"/>
      <c r="R46" s="255"/>
      <c r="S46" s="256"/>
      <c r="T46" s="257"/>
      <c r="U46" s="257"/>
      <c r="V46" s="257"/>
      <c r="W46" s="257"/>
      <c r="X46" s="255"/>
      <c r="Y46" s="255"/>
      <c r="Z46" s="255"/>
      <c r="AA46" s="255"/>
      <c r="AB46" s="142"/>
      <c r="AC46" s="258"/>
      <c r="AD46" s="178">
        <f aca="true" t="shared" si="3" ref="AD46:AD60">AE46+AF46</f>
        <v>300000</v>
      </c>
      <c r="AE46" s="144"/>
      <c r="AF46" s="126">
        <v>300000</v>
      </c>
      <c r="AG46" s="91">
        <f t="shared" si="2"/>
        <v>300000</v>
      </c>
      <c r="AH46" s="81"/>
      <c r="AI46" s="75">
        <f>AH46/AF46*100</f>
        <v>0</v>
      </c>
    </row>
    <row r="47" spans="1:35" ht="37.5">
      <c r="A47" s="15"/>
      <c r="B47" s="153" t="s">
        <v>22</v>
      </c>
      <c r="C47" s="154"/>
      <c r="D47" s="155" t="s">
        <v>91</v>
      </c>
      <c r="E47" s="156"/>
      <c r="F47" s="156"/>
      <c r="G47" s="157"/>
      <c r="H47" s="156"/>
      <c r="I47" s="156"/>
      <c r="J47" s="158"/>
      <c r="K47" s="158"/>
      <c r="L47" s="158"/>
      <c r="M47" s="158"/>
      <c r="N47" s="158"/>
      <c r="O47" s="158"/>
      <c r="P47" s="158"/>
      <c r="Q47" s="159"/>
      <c r="R47" s="159"/>
      <c r="S47" s="160"/>
      <c r="T47" s="161"/>
      <c r="U47" s="161"/>
      <c r="V47" s="161"/>
      <c r="W47" s="161"/>
      <c r="X47" s="159"/>
      <c r="Y47" s="159"/>
      <c r="Z47" s="159"/>
      <c r="AA47" s="159"/>
      <c r="AB47" s="162"/>
      <c r="AC47" s="163"/>
      <c r="AD47" s="152">
        <f t="shared" si="3"/>
        <v>6800000</v>
      </c>
      <c r="AE47" s="164"/>
      <c r="AF47" s="165">
        <f>AF48</f>
        <v>6800000</v>
      </c>
      <c r="AG47" s="165">
        <f>AG48</f>
        <v>6800000</v>
      </c>
      <c r="AH47" s="165">
        <f>AH48</f>
        <v>951831.42</v>
      </c>
      <c r="AI47" s="33">
        <f>AH47/AF47*100</f>
        <v>13.997520882352942</v>
      </c>
    </row>
    <row r="48" spans="1:35" ht="60" customHeight="1">
      <c r="A48" s="15"/>
      <c r="B48" s="149" t="s">
        <v>98</v>
      </c>
      <c r="C48" s="128"/>
      <c r="D48" s="150" t="s">
        <v>181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29"/>
      <c r="AC48" s="130"/>
      <c r="AD48" s="146">
        <f t="shared" si="3"/>
        <v>6800000</v>
      </c>
      <c r="AE48" s="132"/>
      <c r="AF48" s="151">
        <v>6800000</v>
      </c>
      <c r="AG48" s="91">
        <f>AF48</f>
        <v>6800000</v>
      </c>
      <c r="AH48" s="91">
        <f>119777.42+42550.68+108008.04+76915.44+21571.25+52754.4+46306.32+23318+6799.45+453830.42</f>
        <v>951831.42</v>
      </c>
      <c r="AI48" s="75">
        <f>AH48/AF48*100</f>
        <v>13.997520882352942</v>
      </c>
    </row>
    <row r="49" spans="1:35" ht="19.5">
      <c r="A49" s="23">
        <v>4</v>
      </c>
      <c r="B49" s="23" t="s">
        <v>23</v>
      </c>
      <c r="C49" s="24"/>
      <c r="D49" s="25" t="s">
        <v>57</v>
      </c>
      <c r="E49" s="26"/>
      <c r="F49" s="26"/>
      <c r="G49" s="27"/>
      <c r="H49" s="26"/>
      <c r="I49" s="26"/>
      <c r="J49" s="28"/>
      <c r="K49" s="28"/>
      <c r="L49" s="28"/>
      <c r="M49" s="31" t="e">
        <f>M50+M58+M66+M70+#REF!+M76+M77+M81+M84+M88+M95+M57+M98+M99+M100+M101+M102+M103+#REF!+#REF!+M112</f>
        <v>#REF!</v>
      </c>
      <c r="N49" s="31" t="e">
        <f>N50+N58+N66+N70+#REF!+N76+N77+N81+N84+N88+N95+N57+N98+N99+N100+N101+N102+N103+#REF!+#REF!+N112</f>
        <v>#VALUE!</v>
      </c>
      <c r="O49" s="31" t="e">
        <f>O50+O58+O66+O70+#REF!+O76+O77+O81+O84+O88+O95+O57+O98+O99+O100+O101+O102+O103+#REF!+#REF!+O112</f>
        <v>#REF!</v>
      </c>
      <c r="P49" s="30" t="e">
        <f>P50+P58+P66+P70+P75+P81+P84+P92+P95+P98+P99+P100+P101+P102+P103+P112</f>
        <v>#REF!</v>
      </c>
      <c r="Q49" s="31" t="e">
        <f>Q50+Q58+Q66+Q70+#REF!+Q76+Q77+Q81+Q84+Q88+Q95+Q57+Q98+Q99+Q100+Q101+Q102+Q103+#REF!+#REF!+Q112</f>
        <v>#REF!</v>
      </c>
      <c r="R49" s="31" t="e">
        <f>R50+R58+R66+R70+#REF!+R76+R77+R81+R84+R88+R95+R57+R98+R99+R100+R101+R102+R103+#REF!+#REF!+R112</f>
        <v>#REF!</v>
      </c>
      <c r="S49" s="31" t="e">
        <f>S50+S58+S66+S70+#REF!+S76+S77+S81+S84+S88+S95+S57+S98+S99+S100+S101+S102+S103+#REF!+#REF!+S112</f>
        <v>#REF!</v>
      </c>
      <c r="T49" s="31" t="e">
        <f>T50+T58+T66+T70+#REF!+T76+T77+T81+T84+T88+T95+T57+T98+T99+T100+T101+T102+T103+#REF!+#REF!+T112</f>
        <v>#REF!</v>
      </c>
      <c r="U49" s="31" t="e">
        <f>U50+U58+U66+U70+#REF!+U76+U77+U81+U84+U88+U95+U57+U98+U99+U100+U101+U102+U103+#REF!+#REF!+U112</f>
        <v>#REF!</v>
      </c>
      <c r="V49" s="31" t="e">
        <f>V50+V58+V66+V70+#REF!+V76+V77+V81+V84+V88+V95+V57+V98+V99+V100+V101+V102+V103+#REF!+#REF!+V112</f>
        <v>#REF!</v>
      </c>
      <c r="W49" s="32" t="e">
        <f>W53+W70+#REF!+W85</f>
        <v>#REF!</v>
      </c>
      <c r="X49" s="31" t="e">
        <f>X50+X58+X66+X70+#REF!+X88+X57+X76+X95+X98+X77+X100+X81+X101+X103+X99+X102+X84</f>
        <v>#REF!</v>
      </c>
      <c r="Y49" s="33" t="e">
        <f>X49/P49*100</f>
        <v>#REF!</v>
      </c>
      <c r="Z49" s="30" t="e">
        <f>Z50+Z58+Z66+Z70+Z75+Z81+Z84+Z92+Z95+Z98+Z99+Z100+Z101+Z102+Z103+Z113</f>
        <v>#REF!</v>
      </c>
      <c r="AA49" s="31" t="e">
        <f aca="true" t="shared" si="4" ref="AA49:AA54">Z49/P49*100</f>
        <v>#REF!</v>
      </c>
      <c r="AB49" s="34" t="e">
        <f aca="true" t="shared" si="5" ref="AB49:AB54">Z49-P49</f>
        <v>#REF!</v>
      </c>
      <c r="AC49" s="35"/>
      <c r="AD49" s="152">
        <f t="shared" si="3"/>
        <v>57355519.122149006</v>
      </c>
      <c r="AE49" s="30">
        <f>AE50+AE58+AE66+AE70+AE75+AE81+AE84+AE92+AE95+AE98+AE99+AE100+AE101+AE102+AE103+AE108</f>
        <v>57355519.122149006</v>
      </c>
      <c r="AF49" s="35"/>
      <c r="AG49" s="35"/>
      <c r="AH49" s="30">
        <f>AH50+AH58+AH66+AH70+AH75+AH81+AH84+AH92+AH95+AH98+AH99+AH100+AH101+AH102+AH103+AH108</f>
        <v>35897324.080000006</v>
      </c>
      <c r="AI49" s="33">
        <f aca="true" t="shared" si="6" ref="AI49:AI81">AH49/AE49*100</f>
        <v>62.58739286022349</v>
      </c>
    </row>
    <row r="50" spans="1:35" s="2" customFormat="1" ht="37.5">
      <c r="A50" s="167" t="s">
        <v>102</v>
      </c>
      <c r="B50" s="167" t="s">
        <v>99</v>
      </c>
      <c r="C50" s="168"/>
      <c r="D50" s="85" t="s">
        <v>58</v>
      </c>
      <c r="E50" s="208">
        <v>4945</v>
      </c>
      <c r="F50" s="208" t="e">
        <f>4797.2+#REF!</f>
        <v>#REF!</v>
      </c>
      <c r="G50" s="208">
        <v>516.2</v>
      </c>
      <c r="H50" s="208">
        <v>4326</v>
      </c>
      <c r="I50" s="208">
        <f>7616.03-3700.736</f>
        <v>3915.294</v>
      </c>
      <c r="J50" s="208">
        <v>3323</v>
      </c>
      <c r="K50" s="208">
        <v>4326</v>
      </c>
      <c r="L50" s="208" t="s">
        <v>59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10">
        <f>P51+P52+P54+P53+P57</f>
        <v>11194558.2</v>
      </c>
      <c r="Q50" s="209">
        <f aca="true" t="shared" si="7" ref="Q50:V50">Q51+Q52+Q54+Q53</f>
        <v>10373200</v>
      </c>
      <c r="R50" s="209">
        <f t="shared" si="7"/>
        <v>0</v>
      </c>
      <c r="S50" s="209">
        <f t="shared" si="7"/>
        <v>0</v>
      </c>
      <c r="T50" s="209">
        <f t="shared" si="7"/>
        <v>7206768.960000001</v>
      </c>
      <c r="U50" s="209">
        <f t="shared" si="7"/>
        <v>0</v>
      </c>
      <c r="V50" s="209">
        <f t="shared" si="7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10">
        <f>Z51+Z52+Z54+Z53+Z57</f>
        <v>14501241.25</v>
      </c>
      <c r="AA50" s="209">
        <f t="shared" si="4"/>
        <v>129.5383077288392</v>
      </c>
      <c r="AB50" s="212">
        <f t="shared" si="5"/>
        <v>3306683.0500000007</v>
      </c>
      <c r="AC50" s="213"/>
      <c r="AD50" s="178">
        <f>AE50+AF50</f>
        <v>14261691.25</v>
      </c>
      <c r="AE50" s="65">
        <f>AE51+AE52+AE54+AE53+AE57+AE55+AE56</f>
        <v>14261691.25</v>
      </c>
      <c r="AF50" s="65"/>
      <c r="AG50" s="215"/>
      <c r="AH50" s="232">
        <f>AH51+AH52+AH54+AH55+AH57+AH56</f>
        <v>7933054.3100000005</v>
      </c>
      <c r="AI50" s="183">
        <f t="shared" si="6"/>
        <v>55.62491973033003</v>
      </c>
    </row>
    <row r="51" spans="1:35" ht="19.5">
      <c r="A51" s="38"/>
      <c r="B51" s="38"/>
      <c r="C51" s="39" t="s">
        <v>99</v>
      </c>
      <c r="D51" s="40" t="s">
        <v>60</v>
      </c>
      <c r="E51" s="41"/>
      <c r="F51" s="41"/>
      <c r="G51" s="41"/>
      <c r="H51" s="41"/>
      <c r="I51" s="42"/>
      <c r="J51" s="42"/>
      <c r="K51" s="42"/>
      <c r="L51" s="42"/>
      <c r="M51" s="43">
        <v>3915300</v>
      </c>
      <c r="N51" s="42"/>
      <c r="O51" s="44">
        <f>P51+Q51</f>
        <v>7830600</v>
      </c>
      <c r="P51" s="45">
        <f>Q51+R51</f>
        <v>3915300</v>
      </c>
      <c r="Q51" s="46">
        <v>3915300</v>
      </c>
      <c r="R51" s="47"/>
      <c r="S51" s="47"/>
      <c r="T51" s="46">
        <f>377576+371325+309994.8+333575+343665.2+183849+382449.6+208635+112435+213155+204635+153080</f>
        <v>3194374.6</v>
      </c>
      <c r="U51" s="46"/>
      <c r="V51" s="74">
        <v>4284918.23</v>
      </c>
      <c r="W51" s="74"/>
      <c r="X51" s="46">
        <f>377576+371325+309994.8+333575+343665.2+183849+382449.6+208635+112435+213155+204635+153080+218500</f>
        <v>3412874.6</v>
      </c>
      <c r="Y51" s="48">
        <f>X51/P51*100</f>
        <v>87.16763977217582</v>
      </c>
      <c r="Z51" s="49">
        <v>4284918.23</v>
      </c>
      <c r="AA51" s="50">
        <f t="shared" si="4"/>
        <v>109.44035527290374</v>
      </c>
      <c r="AB51" s="51">
        <f t="shared" si="5"/>
        <v>369618.23000000045</v>
      </c>
      <c r="AC51" s="52" t="s">
        <v>61</v>
      </c>
      <c r="AD51" s="146">
        <f t="shared" si="3"/>
        <v>4284918.23</v>
      </c>
      <c r="AE51" s="49">
        <v>4284918.23</v>
      </c>
      <c r="AF51" s="22"/>
      <c r="AG51" s="22"/>
      <c r="AH51" s="233">
        <f>451196.53+332740.16-66.81+399426.96+233852.31+419280+342420</f>
        <v>2178849.15</v>
      </c>
      <c r="AI51" s="75">
        <f t="shared" si="6"/>
        <v>50.84925856333085</v>
      </c>
    </row>
    <row r="52" spans="1:35" ht="18" customHeight="1">
      <c r="A52" s="38"/>
      <c r="B52" s="38"/>
      <c r="C52" s="39" t="s">
        <v>100</v>
      </c>
      <c r="D52" s="40" t="s">
        <v>62</v>
      </c>
      <c r="E52" s="41"/>
      <c r="F52" s="41"/>
      <c r="G52" s="41"/>
      <c r="H52" s="41"/>
      <c r="I52" s="42"/>
      <c r="J52" s="42"/>
      <c r="K52" s="42"/>
      <c r="L52" s="42"/>
      <c r="M52" s="43">
        <v>3700700</v>
      </c>
      <c r="N52" s="42"/>
      <c r="O52" s="44">
        <f>P52+Q52</f>
        <v>12235000</v>
      </c>
      <c r="P52" s="45">
        <f>Q52+R52</f>
        <v>6117500</v>
      </c>
      <c r="Q52" s="46">
        <f>3700700+2416800</f>
        <v>6117500</v>
      </c>
      <c r="R52" s="47"/>
      <c r="S52" s="47"/>
      <c r="T52" s="46">
        <f>368514.26+320005.16+308997.12+245452.4+488986.08+424493.2+319141.43+361164.06+393613.2+515925.59</f>
        <v>3746292.5000000005</v>
      </c>
      <c r="U52" s="46"/>
      <c r="V52" s="74">
        <v>8196115.58</v>
      </c>
      <c r="W52" s="74"/>
      <c r="X52" s="46">
        <f>368514.26+320005.16+308997.12+245452.4+488986.08+424493.2+319141.43+361164.06+393613.2+515925.59</f>
        <v>3746292.5000000005</v>
      </c>
      <c r="Y52" s="48">
        <f>X52/P52*100</f>
        <v>61.238945647731924</v>
      </c>
      <c r="Z52" s="49">
        <v>8196115.58</v>
      </c>
      <c r="AA52" s="50">
        <f t="shared" si="4"/>
        <v>133.9781868410298</v>
      </c>
      <c r="AB52" s="51">
        <f t="shared" si="5"/>
        <v>2078615.58</v>
      </c>
      <c r="AC52" s="53" t="s">
        <v>63</v>
      </c>
      <c r="AD52" s="146">
        <f t="shared" si="3"/>
        <v>8062577.58</v>
      </c>
      <c r="AE52" s="54">
        <f>8196115.58-133538</f>
        <v>8062577.58</v>
      </c>
      <c r="AF52" s="22"/>
      <c r="AG52" s="22"/>
      <c r="AH52" s="233">
        <f>1043663.87+1051800.53+937923.95+734004.17+658837.16+525067.25</f>
        <v>4951296.93</v>
      </c>
      <c r="AI52" s="75">
        <f t="shared" si="6"/>
        <v>61.41084387556367</v>
      </c>
    </row>
    <row r="53" spans="1:35" ht="38.25" customHeight="1" hidden="1">
      <c r="A53" s="38"/>
      <c r="B53" s="38"/>
      <c r="C53" s="39" t="s">
        <v>99</v>
      </c>
      <c r="D53" s="55" t="s">
        <v>64</v>
      </c>
      <c r="E53" s="56"/>
      <c r="F53" s="56"/>
      <c r="G53" s="56"/>
      <c r="H53" s="56"/>
      <c r="I53" s="56"/>
      <c r="J53" s="56"/>
      <c r="K53" s="56"/>
      <c r="L53" s="56"/>
      <c r="M53" s="57">
        <v>0</v>
      </c>
      <c r="N53" s="57">
        <v>0</v>
      </c>
      <c r="O53" s="57">
        <v>0</v>
      </c>
      <c r="P53" s="58">
        <v>0</v>
      </c>
      <c r="Q53" s="57">
        <v>0</v>
      </c>
      <c r="R53" s="57">
        <v>0</v>
      </c>
      <c r="S53" s="57">
        <v>0</v>
      </c>
      <c r="T53" s="57">
        <v>0</v>
      </c>
      <c r="U53" s="57"/>
      <c r="V53" s="74">
        <v>647750</v>
      </c>
      <c r="W53" s="289">
        <v>754100</v>
      </c>
      <c r="X53" s="57">
        <v>0</v>
      </c>
      <c r="Y53" s="57">
        <v>0</v>
      </c>
      <c r="Z53" s="59">
        <v>647750</v>
      </c>
      <c r="AA53" s="50" t="e">
        <f t="shared" si="4"/>
        <v>#DIV/0!</v>
      </c>
      <c r="AB53" s="60">
        <f t="shared" si="5"/>
        <v>647750</v>
      </c>
      <c r="AC53" s="290" t="s">
        <v>65</v>
      </c>
      <c r="AD53" s="146">
        <f t="shared" si="3"/>
        <v>0</v>
      </c>
      <c r="AE53" s="54">
        <v>0</v>
      </c>
      <c r="AF53" s="22"/>
      <c r="AG53" s="22"/>
      <c r="AH53" s="233"/>
      <c r="AI53" s="75" t="e">
        <f t="shared" si="6"/>
        <v>#DIV/0!</v>
      </c>
    </row>
    <row r="54" spans="1:35" ht="37.5">
      <c r="A54" s="38"/>
      <c r="B54" s="38"/>
      <c r="C54" s="39" t="s">
        <v>99</v>
      </c>
      <c r="D54" s="61" t="s">
        <v>85</v>
      </c>
      <c r="E54" s="56"/>
      <c r="F54" s="56"/>
      <c r="G54" s="56"/>
      <c r="H54" s="56"/>
      <c r="I54" s="56"/>
      <c r="J54" s="56"/>
      <c r="K54" s="56"/>
      <c r="L54" s="56"/>
      <c r="M54" s="58">
        <v>340400</v>
      </c>
      <c r="N54" s="56"/>
      <c r="O54" s="62">
        <f>P54+Q54</f>
        <v>680800</v>
      </c>
      <c r="P54" s="58">
        <f>Q54+R54</f>
        <v>340400</v>
      </c>
      <c r="Q54" s="46">
        <v>340400</v>
      </c>
      <c r="R54" s="63"/>
      <c r="S54" s="63"/>
      <c r="T54" s="46">
        <f>31760+32267.33+557+3492.67+30267.33+3492.67+2457.54+28267.33+3492.67+30267.32+3492.67+30767.33+3492.67+30267.33+3492.67+28267.33</f>
        <v>266101.86000000004</v>
      </c>
      <c r="U54" s="46"/>
      <c r="V54" s="74">
        <v>477177</v>
      </c>
      <c r="W54" s="289"/>
      <c r="X54" s="46">
        <f>31760+32267.33+557+3492.67+30267.33+3492.67+2457.54+28267.33+3492.67+30267.32+3492.67+30767.33+3492.67+30267.33+3492.67+28267.33</f>
        <v>266101.86000000004</v>
      </c>
      <c r="Y54" s="64">
        <f>X54/P54*100</f>
        <v>78.17328437132787</v>
      </c>
      <c r="Z54" s="59">
        <v>477177</v>
      </c>
      <c r="AA54" s="50">
        <f t="shared" si="4"/>
        <v>140.18125734430083</v>
      </c>
      <c r="AB54" s="60">
        <f t="shared" si="5"/>
        <v>136777</v>
      </c>
      <c r="AC54" s="290"/>
      <c r="AD54" s="146">
        <f t="shared" si="3"/>
        <v>477177</v>
      </c>
      <c r="AE54" s="54">
        <v>477177</v>
      </c>
      <c r="AF54" s="22"/>
      <c r="AG54" s="22"/>
      <c r="AH54" s="234">
        <f>70531.7+6772.4+32179.65+4172.4+2000+32179.65+4772.4+2000+33654.16+37827.5+2000+4831.46+33654.16</f>
        <v>266575.48</v>
      </c>
      <c r="AI54" s="75">
        <f t="shared" si="6"/>
        <v>55.86511504116921</v>
      </c>
    </row>
    <row r="55" spans="1:35" ht="19.5">
      <c r="A55" s="38"/>
      <c r="B55" s="38"/>
      <c r="C55" s="39"/>
      <c r="D55" s="77" t="s">
        <v>186</v>
      </c>
      <c r="E55" s="56"/>
      <c r="F55" s="56"/>
      <c r="G55" s="56"/>
      <c r="H55" s="56"/>
      <c r="I55" s="56"/>
      <c r="J55" s="56"/>
      <c r="K55" s="56"/>
      <c r="L55" s="56"/>
      <c r="M55" s="58"/>
      <c r="N55" s="56"/>
      <c r="O55" s="62"/>
      <c r="P55" s="58"/>
      <c r="Q55" s="46"/>
      <c r="R55" s="63"/>
      <c r="S55" s="63"/>
      <c r="T55" s="46"/>
      <c r="U55" s="46"/>
      <c r="V55" s="74"/>
      <c r="W55" s="74"/>
      <c r="X55" s="46"/>
      <c r="Y55" s="64"/>
      <c r="Z55" s="59"/>
      <c r="AA55" s="50"/>
      <c r="AB55" s="60"/>
      <c r="AC55" s="53"/>
      <c r="AD55" s="146">
        <f t="shared" si="3"/>
        <v>133538</v>
      </c>
      <c r="AE55" s="54">
        <v>133538</v>
      </c>
      <c r="AF55" s="22"/>
      <c r="AG55" s="22"/>
      <c r="AH55" s="234">
        <f>24557.74+11948.26+81164.16+10672</f>
        <v>128342.16</v>
      </c>
      <c r="AI55" s="75">
        <f t="shared" si="6"/>
        <v>96.10909254294658</v>
      </c>
    </row>
    <row r="56" spans="1:35" ht="26.25" customHeight="1">
      <c r="A56" s="38"/>
      <c r="B56" s="38"/>
      <c r="C56" s="39"/>
      <c r="D56" s="77" t="s">
        <v>239</v>
      </c>
      <c r="E56" s="56"/>
      <c r="F56" s="56"/>
      <c r="G56" s="56"/>
      <c r="H56" s="56"/>
      <c r="I56" s="56"/>
      <c r="J56" s="56"/>
      <c r="K56" s="56"/>
      <c r="L56" s="56"/>
      <c r="M56" s="58"/>
      <c r="N56" s="56"/>
      <c r="O56" s="62"/>
      <c r="P56" s="58"/>
      <c r="Q56" s="46"/>
      <c r="R56" s="63"/>
      <c r="S56" s="63"/>
      <c r="T56" s="46"/>
      <c r="U56" s="46"/>
      <c r="V56" s="74"/>
      <c r="W56" s="74"/>
      <c r="X56" s="46"/>
      <c r="Y56" s="64"/>
      <c r="Z56" s="59"/>
      <c r="AA56" s="50"/>
      <c r="AB56" s="60"/>
      <c r="AC56" s="53"/>
      <c r="AD56" s="146">
        <f t="shared" si="3"/>
        <v>408200</v>
      </c>
      <c r="AE56" s="54">
        <v>408200</v>
      </c>
      <c r="AF56" s="22"/>
      <c r="AG56" s="22"/>
      <c r="AH56" s="234">
        <v>0</v>
      </c>
      <c r="AI56" s="75">
        <f t="shared" si="6"/>
        <v>0</v>
      </c>
    </row>
    <row r="57" spans="1:35" ht="19.5">
      <c r="A57" s="38"/>
      <c r="B57" s="38"/>
      <c r="C57" s="39" t="s">
        <v>100</v>
      </c>
      <c r="D57" s="55" t="s">
        <v>66</v>
      </c>
      <c r="E57" s="56">
        <f>31.3+21.5</f>
        <v>52.8</v>
      </c>
      <c r="F57" s="56">
        <f>E57</f>
        <v>52.8</v>
      </c>
      <c r="G57" s="56">
        <v>0</v>
      </c>
      <c r="H57" s="56">
        <f>F57</f>
        <v>52.8</v>
      </c>
      <c r="I57" s="56">
        <v>100</v>
      </c>
      <c r="J57" s="56">
        <v>0</v>
      </c>
      <c r="K57" s="56">
        <v>52.8</v>
      </c>
      <c r="L57" s="56" t="s">
        <v>59</v>
      </c>
      <c r="M57" s="65">
        <v>821358.2</v>
      </c>
      <c r="N57" s="56" t="s">
        <v>59</v>
      </c>
      <c r="O57" s="66">
        <f>P57+Q57</f>
        <v>1642716.4</v>
      </c>
      <c r="P57" s="58">
        <f>Q57+R57</f>
        <v>821358.2</v>
      </c>
      <c r="Q57" s="67">
        <v>821358.2</v>
      </c>
      <c r="R57" s="68"/>
      <c r="S57" s="68"/>
      <c r="T57" s="67">
        <f>57313.38+61144.73+58977.29+61169.9+64788.11+63325.73+67704.89+66130.42+67368.74+72480.48</f>
        <v>640403.6699999999</v>
      </c>
      <c r="U57" s="67"/>
      <c r="V57" s="67">
        <v>895280.44</v>
      </c>
      <c r="W57" s="67"/>
      <c r="X57" s="67">
        <f>57313.38+61144.73+58977.29+61169.9+64788.11+63325.73+67704.89+66130.42+67368.74+72480.48</f>
        <v>640403.6699999999</v>
      </c>
      <c r="Y57" s="69">
        <f>X57/P57*100</f>
        <v>77.96886547184894</v>
      </c>
      <c r="Z57" s="59">
        <v>895280.44</v>
      </c>
      <c r="AA57" s="50"/>
      <c r="AB57" s="60"/>
      <c r="AC57" s="53"/>
      <c r="AD57" s="146">
        <f t="shared" si="3"/>
        <v>895280.44</v>
      </c>
      <c r="AE57" s="54">
        <f>Z57</f>
        <v>895280.44</v>
      </c>
      <c r="AF57" s="22"/>
      <c r="AG57" s="22"/>
      <c r="AH57" s="233">
        <f>137394.42+66136.03+68723.5+67679.54+68057.1</f>
        <v>407990.58999999997</v>
      </c>
      <c r="AI57" s="75">
        <f t="shared" si="6"/>
        <v>45.57126144741864</v>
      </c>
    </row>
    <row r="58" spans="1:35" s="2" customFormat="1" ht="18.75">
      <c r="A58" s="167" t="s">
        <v>103</v>
      </c>
      <c r="B58" s="167" t="s">
        <v>100</v>
      </c>
      <c r="C58" s="168"/>
      <c r="D58" s="85" t="s">
        <v>67</v>
      </c>
      <c r="E58" s="56">
        <v>5449.4</v>
      </c>
      <c r="F58" s="56">
        <f>E58</f>
        <v>5449.4</v>
      </c>
      <c r="G58" s="56">
        <v>1012.4</v>
      </c>
      <c r="H58" s="56">
        <v>4437</v>
      </c>
      <c r="I58" s="56">
        <v>8582.5</v>
      </c>
      <c r="J58" s="56">
        <v>1513.5</v>
      </c>
      <c r="K58" s="56">
        <v>4437</v>
      </c>
      <c r="L58" s="56"/>
      <c r="M58" s="89">
        <f>M59+M60+M64+M62+M65</f>
        <v>5469440</v>
      </c>
      <c r="N58" s="89">
        <f>N59+N60+N64+N62+N65</f>
        <v>0</v>
      </c>
      <c r="O58" s="89">
        <f>O59+O60+O64+O62+O65</f>
        <v>14216880</v>
      </c>
      <c r="P58" s="65">
        <f>P59+P60+P64+P62+P65+P63</f>
        <v>5469440</v>
      </c>
      <c r="Q58" s="89">
        <f>Q59+Q60+Q64+Q62+Q65</f>
        <v>8999440</v>
      </c>
      <c r="R58" s="215"/>
      <c r="S58" s="215"/>
      <c r="T58" s="89">
        <f>T59+T60+T64+T62+T65</f>
        <v>5903520.42</v>
      </c>
      <c r="U58" s="89"/>
      <c r="V58" s="89">
        <f>V59+V60+V64+V62+V65</f>
        <v>11520000</v>
      </c>
      <c r="W58" s="89"/>
      <c r="X58" s="89">
        <f>X59+X60+X64+X62+X65</f>
        <v>5074108.42</v>
      </c>
      <c r="Y58" s="75">
        <f>X58/P58*100</f>
        <v>92.77199164813949</v>
      </c>
      <c r="Z58" s="65">
        <f>Z59+Z60+Z64+Z62+Z65+Z63</f>
        <v>11520000</v>
      </c>
      <c r="AA58" s="89">
        <f>Z58/P58*100</f>
        <v>210.62485373274046</v>
      </c>
      <c r="AB58" s="217">
        <f>Z58-P58</f>
        <v>6050560</v>
      </c>
      <c r="AC58" s="215"/>
      <c r="AD58" s="178">
        <f t="shared" si="3"/>
        <v>6462464.640000001</v>
      </c>
      <c r="AE58" s="187">
        <f>AE59+AE60+AE64+AE62+AE63+AE65</f>
        <v>6462464.640000001</v>
      </c>
      <c r="AF58" s="215"/>
      <c r="AG58" s="215"/>
      <c r="AH58" s="234">
        <f>AH59+AH60+AH62+AH63+AH64+AH65</f>
        <v>4215091</v>
      </c>
      <c r="AI58" s="75">
        <f t="shared" si="6"/>
        <v>65.22420213969635</v>
      </c>
    </row>
    <row r="59" spans="1:37" ht="19.5">
      <c r="A59" s="38"/>
      <c r="B59" s="38"/>
      <c r="C59" s="39" t="s">
        <v>68</v>
      </c>
      <c r="D59" s="70" t="s">
        <v>69</v>
      </c>
      <c r="E59" s="57"/>
      <c r="F59" s="57"/>
      <c r="G59" s="57"/>
      <c r="H59" s="57"/>
      <c r="I59" s="57"/>
      <c r="J59" s="57"/>
      <c r="K59" s="57"/>
      <c r="L59" s="57"/>
      <c r="M59" s="67">
        <v>1799360</v>
      </c>
      <c r="N59" s="71"/>
      <c r="O59" s="62">
        <f>P59+Q59</f>
        <v>3598720</v>
      </c>
      <c r="P59" s="58">
        <f>Q59+R59</f>
        <v>1799360</v>
      </c>
      <c r="Q59" s="46">
        <v>1799360</v>
      </c>
      <c r="R59" s="68"/>
      <c r="S59" s="68"/>
      <c r="T59" s="46">
        <f>217430.51+24131.1+75354.44+26310+83994+124498.5+49141.8+90561.58+85135+265612.24+37000+95901+94500+48300+179347.42+146901.8+86841.09+62893.68+5505.6</f>
        <v>1799359.76</v>
      </c>
      <c r="U59" s="46"/>
      <c r="V59" s="72">
        <v>4550000</v>
      </c>
      <c r="W59" s="50"/>
      <c r="X59" s="46">
        <f>217430.51+24131.1+75354.44+26310+83994+124498.5+49141.8+90561.58+85135+265612.24+37000+95901+94500+48300+179347.42+146901.8+86841.09+62893.68+5505.6</f>
        <v>1799359.76</v>
      </c>
      <c r="Y59" s="69">
        <f>X59/P59*100</f>
        <v>99.99998666192424</v>
      </c>
      <c r="Z59" s="59">
        <v>4550000</v>
      </c>
      <c r="AA59" s="50">
        <f>Z59/P59*100</f>
        <v>252.86768628845812</v>
      </c>
      <c r="AB59" s="51">
        <f>Z59-P59</f>
        <v>2750640</v>
      </c>
      <c r="AC59" s="52"/>
      <c r="AD59" s="146">
        <f t="shared" si="3"/>
        <v>2245108.16</v>
      </c>
      <c r="AE59" s="49">
        <f>P59+P59*8.1%+300000</f>
        <v>2245108.16</v>
      </c>
      <c r="AF59" s="22"/>
      <c r="AG59" s="22"/>
      <c r="AH59" s="235">
        <f>54575+145257+242875+44400+234550+55500</f>
        <v>777157</v>
      </c>
      <c r="AI59" s="75">
        <f t="shared" si="6"/>
        <v>34.61557059237627</v>
      </c>
      <c r="AK59" s="207"/>
    </row>
    <row r="60" spans="1:37" ht="20.25" customHeight="1">
      <c r="A60" s="38"/>
      <c r="B60" s="38"/>
      <c r="C60" s="39" t="s">
        <v>68</v>
      </c>
      <c r="D60" s="55" t="s">
        <v>70</v>
      </c>
      <c r="E60" s="57"/>
      <c r="F60" s="57"/>
      <c r="G60" s="57"/>
      <c r="H60" s="57"/>
      <c r="I60" s="57"/>
      <c r="J60" s="57"/>
      <c r="K60" s="57"/>
      <c r="L60" s="57"/>
      <c r="M60" s="67">
        <f>45000+98000</f>
        <v>143000</v>
      </c>
      <c r="N60" s="71"/>
      <c r="O60" s="62">
        <f>P60+Q60</f>
        <v>286000</v>
      </c>
      <c r="P60" s="58">
        <f>Q60+R60</f>
        <v>143000</v>
      </c>
      <c r="Q60" s="46">
        <f>45000+98000</f>
        <v>143000</v>
      </c>
      <c r="R60" s="68"/>
      <c r="S60" s="68"/>
      <c r="T60" s="46">
        <f>30000+97950+15000</f>
        <v>142950</v>
      </c>
      <c r="U60" s="46"/>
      <c r="V60" s="72">
        <v>275000</v>
      </c>
      <c r="W60" s="50"/>
      <c r="X60" s="46">
        <f>30000+97950+15000</f>
        <v>142950</v>
      </c>
      <c r="Y60" s="69">
        <f>X60/P60*100</f>
        <v>99.96503496503496</v>
      </c>
      <c r="Z60" s="59">
        <v>275000</v>
      </c>
      <c r="AA60" s="50">
        <f>Z60/P60*100</f>
        <v>192.30769230769232</v>
      </c>
      <c r="AB60" s="51">
        <f>Z60-P60</f>
        <v>132000</v>
      </c>
      <c r="AC60" s="52"/>
      <c r="AD60" s="146">
        <f t="shared" si="3"/>
        <v>404583</v>
      </c>
      <c r="AE60" s="49">
        <f>P60+P60*8.1%+200000+50000</f>
        <v>404583</v>
      </c>
      <c r="AF60" s="22"/>
      <c r="AG60" s="22"/>
      <c r="AH60" s="233">
        <f>154575+135696+49300</f>
        <v>339571</v>
      </c>
      <c r="AI60" s="75">
        <f t="shared" si="6"/>
        <v>83.93110931502312</v>
      </c>
      <c r="AK60" s="207"/>
    </row>
    <row r="61" spans="1:35" ht="47.25" customHeight="1">
      <c r="A61" s="38"/>
      <c r="B61" s="38"/>
      <c r="C61" s="39"/>
      <c r="D61" s="231" t="s">
        <v>208</v>
      </c>
      <c r="E61" s="57"/>
      <c r="F61" s="57"/>
      <c r="G61" s="57"/>
      <c r="H61" s="57"/>
      <c r="I61" s="57"/>
      <c r="J61" s="57"/>
      <c r="K61" s="57"/>
      <c r="L61" s="57"/>
      <c r="M61" s="67"/>
      <c r="N61" s="71"/>
      <c r="O61" s="62"/>
      <c r="P61" s="58"/>
      <c r="Q61" s="46"/>
      <c r="R61" s="68"/>
      <c r="S61" s="68"/>
      <c r="T61" s="46"/>
      <c r="U61" s="46"/>
      <c r="V61" s="72"/>
      <c r="W61" s="50"/>
      <c r="X61" s="46"/>
      <c r="Y61" s="69"/>
      <c r="Z61" s="59"/>
      <c r="AA61" s="50"/>
      <c r="AB61" s="51"/>
      <c r="AC61" s="52"/>
      <c r="AD61" s="185">
        <f>AE61</f>
        <v>50000</v>
      </c>
      <c r="AE61" s="49">
        <v>50000</v>
      </c>
      <c r="AF61" s="22"/>
      <c r="AG61" s="22"/>
      <c r="AH61" s="233">
        <v>0</v>
      </c>
      <c r="AI61" s="75">
        <f t="shared" si="6"/>
        <v>0</v>
      </c>
    </row>
    <row r="62" spans="1:35" ht="18.75" customHeight="1">
      <c r="A62" s="38"/>
      <c r="B62" s="38"/>
      <c r="C62" s="39" t="s">
        <v>68</v>
      </c>
      <c r="D62" s="55" t="s">
        <v>71</v>
      </c>
      <c r="E62" s="57"/>
      <c r="F62" s="57"/>
      <c r="G62" s="57"/>
      <c r="H62" s="57"/>
      <c r="I62" s="57"/>
      <c r="J62" s="57"/>
      <c r="K62" s="57"/>
      <c r="L62" s="57"/>
      <c r="M62" s="67">
        <f>252000+175000</f>
        <v>427000</v>
      </c>
      <c r="N62" s="71"/>
      <c r="O62" s="62">
        <f>P62+Q62</f>
        <v>602000</v>
      </c>
      <c r="P62" s="58">
        <v>175000</v>
      </c>
      <c r="Q62" s="46">
        <f>252000+175000</f>
        <v>427000</v>
      </c>
      <c r="R62" s="68"/>
      <c r="S62" s="68"/>
      <c r="T62" s="46">
        <f>34750+28250+25000+31750+25000+32000+25000+45500+70000+25000+34750</f>
        <v>377000</v>
      </c>
      <c r="U62" s="46"/>
      <c r="V62" s="72">
        <v>900000</v>
      </c>
      <c r="W62" s="50"/>
      <c r="X62" s="46">
        <f>34750+28250+25000+31750+25000+32000+25000+45500+70000+25000+34750+25000</f>
        <v>402000</v>
      </c>
      <c r="Y62" s="69">
        <f>X62/P62*100</f>
        <v>229.71428571428572</v>
      </c>
      <c r="Z62" s="59">
        <v>200000</v>
      </c>
      <c r="AA62" s="50">
        <f>Z62/P62*100</f>
        <v>114.28571428571428</v>
      </c>
      <c r="AB62" s="51">
        <f>Z62-P62</f>
        <v>25000</v>
      </c>
      <c r="AC62" s="52"/>
      <c r="AD62" s="146">
        <f aca="true" t="shared" si="8" ref="AD62:AD79">AE62+AF62</f>
        <v>189175</v>
      </c>
      <c r="AE62" s="49">
        <f>P62+P62*8.1%</f>
        <v>189175</v>
      </c>
      <c r="AF62" s="22"/>
      <c r="AG62" s="22"/>
      <c r="AH62" s="233">
        <f>50000+25000</f>
        <v>75000</v>
      </c>
      <c r="AI62" s="108">
        <f t="shared" si="6"/>
        <v>39.64583058015065</v>
      </c>
    </row>
    <row r="63" spans="1:37" ht="20.25" customHeight="1">
      <c r="A63" s="38"/>
      <c r="B63" s="38"/>
      <c r="C63" s="284" t="s">
        <v>72</v>
      </c>
      <c r="D63" s="55" t="s">
        <v>73</v>
      </c>
      <c r="E63" s="57"/>
      <c r="F63" s="57"/>
      <c r="G63" s="57"/>
      <c r="H63" s="57"/>
      <c r="I63" s="57"/>
      <c r="J63" s="57"/>
      <c r="K63" s="57"/>
      <c r="L63" s="57"/>
      <c r="M63" s="67"/>
      <c r="N63" s="71"/>
      <c r="O63" s="62"/>
      <c r="P63" s="58">
        <v>252000</v>
      </c>
      <c r="Q63" s="46"/>
      <c r="R63" s="68"/>
      <c r="S63" s="68"/>
      <c r="T63" s="46"/>
      <c r="U63" s="46"/>
      <c r="V63" s="72"/>
      <c r="W63" s="50"/>
      <c r="X63" s="46"/>
      <c r="Y63" s="69"/>
      <c r="Z63" s="59">
        <v>700000</v>
      </c>
      <c r="AA63" s="50"/>
      <c r="AB63" s="51"/>
      <c r="AC63" s="52"/>
      <c r="AD63" s="146">
        <f t="shared" si="8"/>
        <v>272412</v>
      </c>
      <c r="AE63" s="49">
        <f>P63+P63*8.1%</f>
        <v>272412</v>
      </c>
      <c r="AF63" s="22"/>
      <c r="AG63" s="22"/>
      <c r="AH63" s="233">
        <f>125250+44500</f>
        <v>169750</v>
      </c>
      <c r="AI63" s="108">
        <f t="shared" si="6"/>
        <v>62.31370130537568</v>
      </c>
      <c r="AK63" s="207"/>
    </row>
    <row r="64" spans="1:35" ht="36.75" customHeight="1">
      <c r="A64" s="38"/>
      <c r="B64" s="38"/>
      <c r="C64" s="284"/>
      <c r="D64" s="55" t="s">
        <v>74</v>
      </c>
      <c r="E64" s="57"/>
      <c r="F64" s="57"/>
      <c r="G64" s="57"/>
      <c r="H64" s="57"/>
      <c r="I64" s="57"/>
      <c r="J64" s="57"/>
      <c r="K64" s="57"/>
      <c r="L64" s="57"/>
      <c r="M64" s="67">
        <f>1231480+1589000+180000+29600</f>
        <v>3030080</v>
      </c>
      <c r="N64" s="71"/>
      <c r="O64" s="62">
        <f>P64+Q64</f>
        <v>6060160</v>
      </c>
      <c r="P64" s="58">
        <f>Q64+R64</f>
        <v>3030080</v>
      </c>
      <c r="Q64" s="46">
        <f>1231480+1589000+180000+29600</f>
        <v>3030080</v>
      </c>
      <c r="R64" s="68"/>
      <c r="S64" s="68"/>
      <c r="T64" s="46">
        <f>95028.5+188463.6+68400+157936.81+158389.75+145896+29600+29783+198012+97921.6+193183.5+70992+147900+44992.5+21677.5+14703+58116+88392+107822+50854.4+71688+74646+6000+161762+123612.5+114360+30800+133278</f>
        <v>2684210.66</v>
      </c>
      <c r="U64" s="46"/>
      <c r="V64" s="72">
        <v>5345000</v>
      </c>
      <c r="W64" s="50"/>
      <c r="X64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64">
        <f aca="true" t="shared" si="9" ref="Y64:Y72">X64/P64*100</f>
        <v>90.08998640299927</v>
      </c>
      <c r="Z64" s="59">
        <v>5345000</v>
      </c>
      <c r="AA64" s="50">
        <f aca="true" t="shared" si="10" ref="AA64:AA72">Z64/P64*100</f>
        <v>176.39798289154083</v>
      </c>
      <c r="AB64" s="51">
        <f aca="true" t="shared" si="11" ref="AB64:AB72">Z64-P64</f>
        <v>2314920</v>
      </c>
      <c r="AC64" s="52"/>
      <c r="AD64" s="146">
        <f t="shared" si="8"/>
        <v>3275516.48</v>
      </c>
      <c r="AE64" s="49">
        <f>P64+P64*8.1%</f>
        <v>3275516.48</v>
      </c>
      <c r="AF64" s="22"/>
      <c r="AG64" s="22"/>
      <c r="AH64" s="233">
        <f>650252+225720+335728+255610+322330+98235+227636+69632+220062+47200+209500+42432+73116+76160</f>
        <v>2853613</v>
      </c>
      <c r="AI64" s="108">
        <f t="shared" si="6"/>
        <v>87.11948229917012</v>
      </c>
    </row>
    <row r="65" spans="1:35" ht="19.5" customHeight="1">
      <c r="A65" s="38"/>
      <c r="B65" s="38"/>
      <c r="C65" s="284"/>
      <c r="D65" s="55" t="s">
        <v>75</v>
      </c>
      <c r="E65" s="57"/>
      <c r="F65" s="57"/>
      <c r="G65" s="57"/>
      <c r="H65" s="57"/>
      <c r="I65" s="57"/>
      <c r="J65" s="57"/>
      <c r="K65" s="57"/>
      <c r="L65" s="57"/>
      <c r="M65" s="67">
        <v>70000</v>
      </c>
      <c r="N65" s="71"/>
      <c r="O65" s="62">
        <f>P65+Q65</f>
        <v>3670000</v>
      </c>
      <c r="P65" s="58">
        <v>70000</v>
      </c>
      <c r="Q65" s="62">
        <f>R65+S65</f>
        <v>3600000</v>
      </c>
      <c r="R65" s="62">
        <f>S65+T65</f>
        <v>2250000</v>
      </c>
      <c r="S65" s="62">
        <f>T65+U65</f>
        <v>1350000</v>
      </c>
      <c r="T65" s="62">
        <f>U65+V65</f>
        <v>900000</v>
      </c>
      <c r="U65" s="62">
        <f>V65+W65</f>
        <v>450000</v>
      </c>
      <c r="V65" s="62">
        <v>450000</v>
      </c>
      <c r="W65" s="50"/>
      <c r="X65" s="46">
        <v>0</v>
      </c>
      <c r="Y65" s="69">
        <f t="shared" si="9"/>
        <v>0</v>
      </c>
      <c r="Z65" s="59">
        <v>450000</v>
      </c>
      <c r="AA65" s="50">
        <f t="shared" si="10"/>
        <v>642.8571428571429</v>
      </c>
      <c r="AB65" s="51">
        <f t="shared" si="11"/>
        <v>380000</v>
      </c>
      <c r="AC65" s="52"/>
      <c r="AD65" s="146">
        <f t="shared" si="8"/>
        <v>75670</v>
      </c>
      <c r="AE65" s="49">
        <f>P65+P65*8.1%</f>
        <v>75670</v>
      </c>
      <c r="AF65" s="22"/>
      <c r="AG65" s="22"/>
      <c r="AH65" s="233">
        <v>0</v>
      </c>
      <c r="AI65" s="108">
        <f t="shared" si="6"/>
        <v>0</v>
      </c>
    </row>
    <row r="66" spans="1:35" s="2" customFormat="1" ht="19.5" customHeight="1">
      <c r="A66" s="167" t="s">
        <v>104</v>
      </c>
      <c r="B66" s="167" t="s">
        <v>101</v>
      </c>
      <c r="C66" s="168"/>
      <c r="D66" s="85" t="s">
        <v>76</v>
      </c>
      <c r="E66" s="208">
        <f>256.5+80.3</f>
        <v>336.8</v>
      </c>
      <c r="F66" s="208">
        <f>E66</f>
        <v>336.8</v>
      </c>
      <c r="G66" s="208">
        <f>74+23.5</f>
        <v>97.5</v>
      </c>
      <c r="H66" s="208">
        <f>F66-G66</f>
        <v>239.3</v>
      </c>
      <c r="I66" s="208">
        <f>1056.05-187.9-170</f>
        <v>698.15</v>
      </c>
      <c r="J66" s="208">
        <v>74.25</v>
      </c>
      <c r="K66" s="208">
        <v>239.3</v>
      </c>
      <c r="L66" s="208"/>
      <c r="M66" s="214">
        <f>M68+M69+M67</f>
        <v>625900</v>
      </c>
      <c r="N66" s="208" t="s">
        <v>59</v>
      </c>
      <c r="O66" s="214">
        <f>P66+Q66</f>
        <v>1251800</v>
      </c>
      <c r="P66" s="210">
        <f>Q66+R66</f>
        <v>625900</v>
      </c>
      <c r="Q66" s="209">
        <f>Q67+Q68+Q69</f>
        <v>625900</v>
      </c>
      <c r="R66" s="213"/>
      <c r="S66" s="213"/>
      <c r="T66" s="209">
        <f>T67+T68+T69</f>
        <v>441324.46</v>
      </c>
      <c r="U66" s="209"/>
      <c r="V66" s="214">
        <f>V68+V69+V67</f>
        <v>637789.921</v>
      </c>
      <c r="W66" s="214"/>
      <c r="X66" s="209">
        <f>X67+X68+X69</f>
        <v>441324.46</v>
      </c>
      <c r="Y66" s="211">
        <f t="shared" si="9"/>
        <v>70.51037865473718</v>
      </c>
      <c r="Z66" s="210">
        <f>Z67+Z68+Z69</f>
        <v>1169762.37</v>
      </c>
      <c r="AA66" s="209">
        <f t="shared" si="10"/>
        <v>186.892853490973</v>
      </c>
      <c r="AB66" s="212">
        <f t="shared" si="11"/>
        <v>543862.3700000001</v>
      </c>
      <c r="AC66" s="213"/>
      <c r="AD66" s="178">
        <f t="shared" si="8"/>
        <v>810557.5100000001</v>
      </c>
      <c r="AE66" s="65">
        <f>AE67+AE68+AE69</f>
        <v>810557.5100000001</v>
      </c>
      <c r="AF66" s="215"/>
      <c r="AG66" s="215"/>
      <c r="AH66" s="234">
        <f>AH67+AH68+AH69</f>
        <v>252810.02999999997</v>
      </c>
      <c r="AI66" s="75">
        <f t="shared" si="6"/>
        <v>31.189647481028203</v>
      </c>
    </row>
    <row r="67" spans="1:35" ht="19.5">
      <c r="A67" s="38"/>
      <c r="B67" s="38"/>
      <c r="C67" s="39" t="s">
        <v>77</v>
      </c>
      <c r="D67" s="55" t="s">
        <v>78</v>
      </c>
      <c r="E67" s="56"/>
      <c r="F67" s="56"/>
      <c r="G67" s="56"/>
      <c r="H67" s="56"/>
      <c r="I67" s="56"/>
      <c r="J67" s="56"/>
      <c r="K67" s="56"/>
      <c r="L67" s="56"/>
      <c r="M67" s="58">
        <v>268000</v>
      </c>
      <c r="N67" s="56"/>
      <c r="O67" s="62">
        <f>P67+Q67</f>
        <v>718512.58</v>
      </c>
      <c r="P67" s="58">
        <f>Q67+R67</f>
        <v>359256.29</v>
      </c>
      <c r="Q67" s="46">
        <f>268000+91256.29</f>
        <v>359256.29</v>
      </c>
      <c r="R67" s="68"/>
      <c r="S67" s="68"/>
      <c r="T67" s="46">
        <f>18552.24+72107.68+23190.3+47175.33+23015.91+29757.33+62844.09+23190.03</f>
        <v>299832.91000000003</v>
      </c>
      <c r="U67" s="46"/>
      <c r="V67" s="50">
        <f>P67*(0.9)</f>
        <v>323330.66099999996</v>
      </c>
      <c r="W67" s="50"/>
      <c r="X67" s="46">
        <f>18552.24+72107.68+23190.3+47175.33+23015.91+29757.33+62844.09+23190.03</f>
        <v>299832.91000000003</v>
      </c>
      <c r="Y67" s="69">
        <f t="shared" si="9"/>
        <v>83.45933483864681</v>
      </c>
      <c r="Z67" s="59">
        <v>855303.11</v>
      </c>
      <c r="AA67" s="50">
        <f t="shared" si="10"/>
        <v>238.07602923250138</v>
      </c>
      <c r="AB67" s="51">
        <f t="shared" si="11"/>
        <v>496046.82</v>
      </c>
      <c r="AC67" s="281" t="s">
        <v>79</v>
      </c>
      <c r="AD67" s="178">
        <f t="shared" si="8"/>
        <v>496098.2500000001</v>
      </c>
      <c r="AE67" s="59">
        <f>152908.76+129844.14+131189.32+126901.63-44745.6</f>
        <v>496098.2500000001</v>
      </c>
      <c r="AF67" s="134"/>
      <c r="AG67" s="134"/>
      <c r="AH67" s="234">
        <f>137793.06+59519.8</f>
        <v>197312.86</v>
      </c>
      <c r="AI67" s="75">
        <f t="shared" si="6"/>
        <v>39.772940138369755</v>
      </c>
    </row>
    <row r="68" spans="1:35" ht="17.25" customHeight="1">
      <c r="A68" s="38"/>
      <c r="B68" s="38"/>
      <c r="C68" s="39" t="s">
        <v>77</v>
      </c>
      <c r="D68" s="55" t="s">
        <v>80</v>
      </c>
      <c r="E68" s="56"/>
      <c r="F68" s="56"/>
      <c r="G68" s="56"/>
      <c r="H68" s="56"/>
      <c r="I68" s="56"/>
      <c r="J68" s="56"/>
      <c r="K68" s="56"/>
      <c r="L68" s="56"/>
      <c r="M68" s="58">
        <v>170000</v>
      </c>
      <c r="N68" s="56"/>
      <c r="O68" s="62">
        <f>P68+Q68</f>
        <v>157487.42</v>
      </c>
      <c r="P68" s="58">
        <f>Q68+R68</f>
        <v>78743.71</v>
      </c>
      <c r="Q68" s="46">
        <f>170000-91256.29</f>
        <v>78743.71</v>
      </c>
      <c r="R68" s="68"/>
      <c r="S68" s="68"/>
      <c r="T68" s="46">
        <f>14766.18+14774.76+14766.18+14766.18+14766.18</f>
        <v>73839.48000000001</v>
      </c>
      <c r="U68" s="46"/>
      <c r="V68" s="50">
        <v>86161.65</v>
      </c>
      <c r="W68" s="50"/>
      <c r="X68" s="46">
        <f>14766.18+14774.76+14766.18+14766.18+14766.18</f>
        <v>73839.48000000001</v>
      </c>
      <c r="Y68" s="69">
        <f t="shared" si="9"/>
        <v>93.7719088927865</v>
      </c>
      <c r="Z68" s="59">
        <v>86161.65</v>
      </c>
      <c r="AA68" s="50">
        <f t="shared" si="10"/>
        <v>109.42035878167282</v>
      </c>
      <c r="AB68" s="51">
        <f t="shared" si="11"/>
        <v>7417.939999999988</v>
      </c>
      <c r="AC68" s="281"/>
      <c r="AD68" s="178">
        <f t="shared" si="8"/>
        <v>86161.65</v>
      </c>
      <c r="AE68" s="59">
        <f>Z68</f>
        <v>86161.65</v>
      </c>
      <c r="AF68" s="134"/>
      <c r="AG68" s="134"/>
      <c r="AH68" s="234">
        <f>16168.43+16168.43</f>
        <v>32336.86</v>
      </c>
      <c r="AI68" s="75">
        <f t="shared" si="6"/>
        <v>37.53045583504959</v>
      </c>
    </row>
    <row r="69" spans="1:35" ht="19.5">
      <c r="A69" s="38"/>
      <c r="B69" s="38"/>
      <c r="C69" s="39" t="s">
        <v>77</v>
      </c>
      <c r="D69" s="55" t="s">
        <v>35</v>
      </c>
      <c r="E69" s="56">
        <f>173.3</f>
        <v>173.3</v>
      </c>
      <c r="F69" s="56">
        <f>173.3</f>
        <v>173.3</v>
      </c>
      <c r="G69" s="56">
        <v>83.4</v>
      </c>
      <c r="H69" s="56">
        <f>F69-G69</f>
        <v>89.9</v>
      </c>
      <c r="I69" s="56">
        <f>666.764-14.616-20</f>
        <v>632.148</v>
      </c>
      <c r="J69" s="56">
        <v>166.1</v>
      </c>
      <c r="K69" s="56">
        <v>89.9</v>
      </c>
      <c r="L69" s="56"/>
      <c r="M69" s="58">
        <v>187900</v>
      </c>
      <c r="N69" s="56" t="s">
        <v>59</v>
      </c>
      <c r="O69" s="62">
        <f>P69+Q69</f>
        <v>375800</v>
      </c>
      <c r="P69" s="58">
        <f>Q69+R69</f>
        <v>187900</v>
      </c>
      <c r="Q69" s="46">
        <v>187900</v>
      </c>
      <c r="R69" s="68"/>
      <c r="S69" s="68"/>
      <c r="T69" s="46">
        <f>2357.42+16410.77+16575.26+17703.29+14605.33</f>
        <v>67652.06999999999</v>
      </c>
      <c r="U69" s="46"/>
      <c r="V69" s="50">
        <v>228297.61</v>
      </c>
      <c r="W69" s="50"/>
      <c r="X69" s="46">
        <f>2357.42+16410.77+16575.26+17703.29+14605.33</f>
        <v>67652.06999999999</v>
      </c>
      <c r="Y69" s="69">
        <f t="shared" si="9"/>
        <v>36.00429483767961</v>
      </c>
      <c r="Z69" s="59">
        <v>228297.61</v>
      </c>
      <c r="AA69" s="50">
        <f t="shared" si="10"/>
        <v>121.49952634379989</v>
      </c>
      <c r="AB69" s="51">
        <f t="shared" si="11"/>
        <v>40397.609999999986</v>
      </c>
      <c r="AC69" s="281"/>
      <c r="AD69" s="178">
        <f t="shared" si="8"/>
        <v>228297.61</v>
      </c>
      <c r="AE69" s="59">
        <f>Z69</f>
        <v>228297.61</v>
      </c>
      <c r="AF69" s="88"/>
      <c r="AG69" s="134"/>
      <c r="AH69" s="234">
        <f>5315.4+17844.91</f>
        <v>23160.309999999998</v>
      </c>
      <c r="AI69" s="75">
        <f t="shared" si="6"/>
        <v>10.144788637953765</v>
      </c>
    </row>
    <row r="70" spans="1:35" s="2" customFormat="1" ht="18.75">
      <c r="A70" s="167" t="s">
        <v>81</v>
      </c>
      <c r="B70" s="167" t="s">
        <v>27</v>
      </c>
      <c r="C70" s="168"/>
      <c r="D70" s="85" t="s">
        <v>82</v>
      </c>
      <c r="E70" s="56">
        <f>122.6+1881.1</f>
        <v>2003.6999999999998</v>
      </c>
      <c r="F70" s="56">
        <f>121.8+1840</f>
        <v>1961.8</v>
      </c>
      <c r="G70" s="56">
        <v>27.7</v>
      </c>
      <c r="H70" s="56">
        <f>F70-G70</f>
        <v>1934.1</v>
      </c>
      <c r="I70" s="56">
        <f>2239.093+25.0115+616.4775</f>
        <v>2880.582</v>
      </c>
      <c r="J70" s="56">
        <v>1332.8</v>
      </c>
      <c r="K70" s="56">
        <v>1934.1</v>
      </c>
      <c r="L70" s="56"/>
      <c r="M70" s="89">
        <f aca="true" t="shared" si="12" ref="M70:V70">M71+M72+M74</f>
        <v>2123000</v>
      </c>
      <c r="N70" s="89" t="e">
        <f t="shared" si="12"/>
        <v>#VALUE!</v>
      </c>
      <c r="O70" s="89">
        <f t="shared" si="12"/>
        <v>4246000</v>
      </c>
      <c r="P70" s="65">
        <f t="shared" si="12"/>
        <v>2123000</v>
      </c>
      <c r="Q70" s="89">
        <f t="shared" si="12"/>
        <v>2123000</v>
      </c>
      <c r="R70" s="89">
        <f t="shared" si="12"/>
        <v>0</v>
      </c>
      <c r="S70" s="89">
        <f t="shared" si="12"/>
        <v>0</v>
      </c>
      <c r="T70" s="89">
        <f t="shared" si="12"/>
        <v>1314272.7199999997</v>
      </c>
      <c r="U70" s="89">
        <f t="shared" si="12"/>
        <v>0</v>
      </c>
      <c r="V70" s="89">
        <f t="shared" si="12"/>
        <v>2480800</v>
      </c>
      <c r="W70" s="89">
        <f>W71</f>
        <v>1128700</v>
      </c>
      <c r="X70" s="89">
        <f>X71+X72+X74</f>
        <v>1314272.7199999997</v>
      </c>
      <c r="Y70" s="75">
        <f t="shared" si="9"/>
        <v>61.906392840320294</v>
      </c>
      <c r="Z70" s="65">
        <f>Z71+Z72+Z74</f>
        <v>2480800</v>
      </c>
      <c r="AA70" s="89">
        <f t="shared" si="10"/>
        <v>116.85350918511541</v>
      </c>
      <c r="AB70" s="217">
        <f t="shared" si="11"/>
        <v>357800</v>
      </c>
      <c r="AC70" s="282" t="s">
        <v>112</v>
      </c>
      <c r="AD70" s="178">
        <f t="shared" si="8"/>
        <v>2653600</v>
      </c>
      <c r="AE70" s="65">
        <f>AE71+AE72+AE73+AE74</f>
        <v>2653600</v>
      </c>
      <c r="AF70" s="215"/>
      <c r="AG70" s="215"/>
      <c r="AH70" s="234">
        <f>AH71+AH72+AH73+AH74</f>
        <v>1484705.91</v>
      </c>
      <c r="AI70" s="75">
        <f t="shared" si="6"/>
        <v>55.95062971058184</v>
      </c>
    </row>
    <row r="71" spans="1:37" ht="45" customHeight="1">
      <c r="A71" s="38"/>
      <c r="B71" s="38"/>
      <c r="C71" s="39" t="s">
        <v>113</v>
      </c>
      <c r="D71" s="77" t="s">
        <v>114</v>
      </c>
      <c r="E71" s="56"/>
      <c r="F71" s="56"/>
      <c r="G71" s="56"/>
      <c r="H71" s="56"/>
      <c r="I71" s="56"/>
      <c r="J71" s="56"/>
      <c r="K71" s="56"/>
      <c r="L71" s="56"/>
      <c r="M71" s="67">
        <f>1984500</f>
        <v>1984500</v>
      </c>
      <c r="N71" s="56"/>
      <c r="O71" s="62">
        <f>P71+Q71</f>
        <v>3969000</v>
      </c>
      <c r="P71" s="58">
        <f>Q71+R71</f>
        <v>1984500</v>
      </c>
      <c r="Q71" s="46">
        <f>1984500</f>
        <v>1984500</v>
      </c>
      <c r="R71" s="78"/>
      <c r="S71" s="78"/>
      <c r="T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46"/>
      <c r="V71" s="79">
        <v>2415500</v>
      </c>
      <c r="W71" s="50">
        <v>1128700</v>
      </c>
      <c r="X71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64">
        <f t="shared" si="9"/>
        <v>64.4961723356009</v>
      </c>
      <c r="Z71" s="59">
        <v>2415500</v>
      </c>
      <c r="AA71" s="74">
        <f t="shared" si="10"/>
        <v>121.7183169564122</v>
      </c>
      <c r="AB71" s="76">
        <f t="shared" si="11"/>
        <v>431000</v>
      </c>
      <c r="AC71" s="282"/>
      <c r="AD71" s="178">
        <f t="shared" si="8"/>
        <v>1878100</v>
      </c>
      <c r="AE71" s="59">
        <f>1705300+172800</f>
        <v>1878100</v>
      </c>
      <c r="AF71" s="88"/>
      <c r="AG71" s="134"/>
      <c r="AH71" s="237">
        <f>62630.03+17956.55+3950.44+29559.27+4385.59+44800+12555.8+15675.08+2632+17925+3943.5+218000+10667.41+29867.04+145343.16+39161.52+6301.59+26665+20410+19200+39504.93+36820.52+5556.56+48661.91+16730+3680+122696+6461.44+47587.48+8464.74+15169.87+15535+3417.7+5958+360</f>
        <v>1108233.1300000001</v>
      </c>
      <c r="AI71" s="75">
        <f t="shared" si="6"/>
        <v>59.00820669825888</v>
      </c>
      <c r="AK71" s="207"/>
    </row>
    <row r="72" spans="1:35" s="1" customFormat="1" ht="17.25" customHeight="1">
      <c r="A72" s="38"/>
      <c r="B72" s="38"/>
      <c r="C72" s="39" t="s">
        <v>113</v>
      </c>
      <c r="D72" s="55" t="s">
        <v>115</v>
      </c>
      <c r="E72" s="56"/>
      <c r="F72" s="56"/>
      <c r="G72" s="56"/>
      <c r="H72" s="56"/>
      <c r="I72" s="56"/>
      <c r="J72" s="56"/>
      <c r="K72" s="56"/>
      <c r="L72" s="56"/>
      <c r="M72" s="67">
        <f>117815</f>
        <v>117815</v>
      </c>
      <c r="N72" s="56"/>
      <c r="O72" s="62">
        <f>P72+Q72</f>
        <v>235630</v>
      </c>
      <c r="P72" s="58">
        <f>Q72+R72</f>
        <v>117815</v>
      </c>
      <c r="Q72" s="46">
        <f>117815</f>
        <v>117815</v>
      </c>
      <c r="R72" s="78"/>
      <c r="S72" s="78"/>
      <c r="T72" s="46">
        <f>5874.96+10528.68+2678.52+4068.84+4824.24+994.56</f>
        <v>28969.8</v>
      </c>
      <c r="U72" s="46"/>
      <c r="V72" s="79">
        <v>36100</v>
      </c>
      <c r="W72" s="50"/>
      <c r="X72" s="46">
        <f>5874.96+10528.68+2678.52+4068.84+4824.24+994.56</f>
        <v>28969.8</v>
      </c>
      <c r="Y72" s="69">
        <f t="shared" si="9"/>
        <v>24.589228875779824</v>
      </c>
      <c r="Z72" s="59">
        <v>36100</v>
      </c>
      <c r="AA72" s="74">
        <f t="shared" si="10"/>
        <v>30.641259601918264</v>
      </c>
      <c r="AB72" s="76">
        <f t="shared" si="11"/>
        <v>-81715</v>
      </c>
      <c r="AC72" s="282"/>
      <c r="AD72" s="178">
        <f t="shared" si="8"/>
        <v>36100</v>
      </c>
      <c r="AE72" s="59">
        <f>Z72</f>
        <v>36100</v>
      </c>
      <c r="AF72" s="134"/>
      <c r="AG72" s="88"/>
      <c r="AH72" s="234">
        <f>10774.62+6345.33+3406.94</f>
        <v>20526.89</v>
      </c>
      <c r="AI72" s="75">
        <f t="shared" si="6"/>
        <v>56.86119113573407</v>
      </c>
    </row>
    <row r="73" spans="1:35" s="1" customFormat="1" ht="17.25" customHeight="1">
      <c r="A73" s="38"/>
      <c r="B73" s="38"/>
      <c r="C73" s="39"/>
      <c r="D73" s="55" t="s">
        <v>116</v>
      </c>
      <c r="E73" s="56"/>
      <c r="F73" s="56"/>
      <c r="G73" s="56"/>
      <c r="H73" s="56"/>
      <c r="I73" s="56"/>
      <c r="J73" s="56"/>
      <c r="K73" s="56"/>
      <c r="L73" s="56"/>
      <c r="M73" s="67"/>
      <c r="N73" s="56"/>
      <c r="O73" s="62"/>
      <c r="P73" s="58"/>
      <c r="Q73" s="46"/>
      <c r="R73" s="78"/>
      <c r="S73" s="78"/>
      <c r="T73" s="46"/>
      <c r="U73" s="46"/>
      <c r="V73" s="79"/>
      <c r="W73" s="50"/>
      <c r="X73" s="46"/>
      <c r="Y73" s="69"/>
      <c r="Z73" s="59"/>
      <c r="AA73" s="74"/>
      <c r="AB73" s="76"/>
      <c r="AC73" s="282"/>
      <c r="AD73" s="178">
        <f t="shared" si="8"/>
        <v>29200</v>
      </c>
      <c r="AE73" s="59">
        <f>Z74</f>
        <v>29200</v>
      </c>
      <c r="AF73" s="134"/>
      <c r="AG73" s="88"/>
      <c r="AH73" s="234">
        <f>991.77+516.4+534.22+353.35+424.2</f>
        <v>2819.94</v>
      </c>
      <c r="AI73" s="75">
        <f t="shared" si="6"/>
        <v>9.657328767123289</v>
      </c>
    </row>
    <row r="74" spans="1:35" s="1" customFormat="1" ht="36" customHeight="1">
      <c r="A74" s="38"/>
      <c r="B74" s="38"/>
      <c r="C74" s="39" t="s">
        <v>113</v>
      </c>
      <c r="D74" s="77" t="s">
        <v>117</v>
      </c>
      <c r="E74" s="56">
        <v>22463.7</v>
      </c>
      <c r="F74" s="56">
        <f>7156.8+15302.9</f>
        <v>22459.7</v>
      </c>
      <c r="G74" s="56">
        <f>1375.6+2420.3</f>
        <v>3795.9</v>
      </c>
      <c r="H74" s="56">
        <v>18663.8</v>
      </c>
      <c r="I74" s="56">
        <v>26758.69305</v>
      </c>
      <c r="J74" s="56" t="e">
        <f>#REF!+#REF!+#REF!+#REF!</f>
        <v>#REF!</v>
      </c>
      <c r="K74" s="56" t="e">
        <f>#REF!+#REF!+#REF!+#REF!</f>
        <v>#REF!</v>
      </c>
      <c r="L74" s="56"/>
      <c r="M74" s="67">
        <v>20685</v>
      </c>
      <c r="N74" s="56" t="s">
        <v>59</v>
      </c>
      <c r="O74" s="62">
        <f>P74+Q74</f>
        <v>41370</v>
      </c>
      <c r="P74" s="58">
        <f>Q74+R74</f>
        <v>20685</v>
      </c>
      <c r="Q74" s="46">
        <v>20685</v>
      </c>
      <c r="R74" s="78"/>
      <c r="S74" s="78"/>
      <c r="T74" s="46">
        <f>848.74+587.05+557.5+750.92+889.87+917.3+825</f>
        <v>5376.38</v>
      </c>
      <c r="U74" s="46"/>
      <c r="V74" s="79">
        <v>29200</v>
      </c>
      <c r="W74" s="50"/>
      <c r="X74" s="46">
        <f>848.74+587.05+557.5+750.92+889.87+917.3+825</f>
        <v>5376.38</v>
      </c>
      <c r="Y74" s="69">
        <f>X74/P74*100</f>
        <v>25.991684795745712</v>
      </c>
      <c r="Z74" s="59">
        <v>29200</v>
      </c>
      <c r="AA74" s="74">
        <f>Z74/P74*100</f>
        <v>141.16509547981627</v>
      </c>
      <c r="AB74" s="76">
        <f>Z74-P74</f>
        <v>8515</v>
      </c>
      <c r="AC74" s="282"/>
      <c r="AD74" s="178">
        <f t="shared" si="8"/>
        <v>710200</v>
      </c>
      <c r="AE74" s="59">
        <f>680402.75+29797.25</f>
        <v>710200</v>
      </c>
      <c r="AF74" s="134"/>
      <c r="AG74" s="88"/>
      <c r="AH74" s="234">
        <f>94143.81+11352.5+2497.55+26627.8+5858.11+9600+11352.5+2497.55+1195.2+23010+21462.63+4805.26+19681.65+31099.8+6841.95+1970.08+433.42+3845+10755+2366.1+36171.43+7957.71+5208.75+10157.5+2234.65</f>
        <v>353125.95</v>
      </c>
      <c r="AI74" s="75">
        <f t="shared" si="6"/>
        <v>49.72204308645452</v>
      </c>
    </row>
    <row r="75" spans="1:35" s="2" customFormat="1" ht="18.75">
      <c r="A75" s="167"/>
      <c r="B75" s="167" t="s">
        <v>28</v>
      </c>
      <c r="C75" s="168"/>
      <c r="D75" s="61" t="s">
        <v>118</v>
      </c>
      <c r="E75" s="56"/>
      <c r="F75" s="56"/>
      <c r="G75" s="56"/>
      <c r="H75" s="56"/>
      <c r="I75" s="56"/>
      <c r="J75" s="56"/>
      <c r="K75" s="56"/>
      <c r="L75" s="56"/>
      <c r="M75" s="89"/>
      <c r="N75" s="83"/>
      <c r="O75" s="66"/>
      <c r="P75" s="65" t="e">
        <f>P76+P77+#REF!+P78+P79</f>
        <v>#REF!</v>
      </c>
      <c r="Q75" s="218"/>
      <c r="R75" s="215"/>
      <c r="S75" s="215"/>
      <c r="T75" s="218"/>
      <c r="U75" s="218"/>
      <c r="V75" s="89"/>
      <c r="W75" s="89"/>
      <c r="X75" s="218"/>
      <c r="Y75" s="219"/>
      <c r="Z75" s="65" t="e">
        <f>Z76+Z77+#REF!+Z78+Z79</f>
        <v>#REF!</v>
      </c>
      <c r="AA75" s="89"/>
      <c r="AB75" s="217"/>
      <c r="AC75" s="215"/>
      <c r="AD75" s="178">
        <f t="shared" si="8"/>
        <v>23298659.392149</v>
      </c>
      <c r="AE75" s="65">
        <f>AE76+AE77+AE78+AE79+AE80</f>
        <v>23298659.392149</v>
      </c>
      <c r="AF75" s="215"/>
      <c r="AG75" s="215"/>
      <c r="AH75" s="234">
        <f>AH76+AH77+AH78+AH79</f>
        <v>17218690.34</v>
      </c>
      <c r="AI75" s="75">
        <f t="shared" si="6"/>
        <v>73.90421075386946</v>
      </c>
    </row>
    <row r="76" spans="1:35" ht="18.75">
      <c r="A76" s="36" t="s">
        <v>119</v>
      </c>
      <c r="B76" s="36"/>
      <c r="C76" s="39" t="s">
        <v>120</v>
      </c>
      <c r="D76" s="77" t="s">
        <v>121</v>
      </c>
      <c r="E76" s="57"/>
      <c r="F76" s="57"/>
      <c r="G76" s="57"/>
      <c r="H76" s="57"/>
      <c r="I76" s="57"/>
      <c r="J76" s="57"/>
      <c r="K76" s="57"/>
      <c r="L76" s="57"/>
      <c r="M76" s="58">
        <v>5104000</v>
      </c>
      <c r="N76" s="71"/>
      <c r="O76" s="62">
        <f>P76+Q76</f>
        <v>8219357.757999999</v>
      </c>
      <c r="P76" s="58">
        <f>Q76+R76</f>
        <v>4109678.8789999997</v>
      </c>
      <c r="Q76" s="67">
        <f>5104000-994321.121</f>
        <v>4109678.8789999997</v>
      </c>
      <c r="R76" s="78"/>
      <c r="S76" s="78"/>
      <c r="T76" s="67">
        <f>307554.9+660163.29+188518.82+197590.73+136793.57+167192.17+227989.31+243188.57+455978.54</f>
        <v>2584969.9</v>
      </c>
      <c r="U76" s="67"/>
      <c r="V76" s="67">
        <v>0</v>
      </c>
      <c r="W76" s="67"/>
      <c r="X76" s="67">
        <f>307554.9+660163.29+188518.82+197590.73+136793.57+167192.17+227989.31+243188.57+455978.54+258387.82</f>
        <v>2843357.7199999997</v>
      </c>
      <c r="Y76" s="69">
        <f>X76/P76*100</f>
        <v>69.18685872342095</v>
      </c>
      <c r="Z76" s="59">
        <v>8044223</v>
      </c>
      <c r="AA76" s="67">
        <f>Z76/P76*100</f>
        <v>195.73848071451718</v>
      </c>
      <c r="AB76" s="80">
        <f>Z76-P76</f>
        <v>3934544.1210000003</v>
      </c>
      <c r="AC76" s="68" t="s">
        <v>122</v>
      </c>
      <c r="AD76" s="178">
        <f t="shared" si="8"/>
        <v>4442562.868199</v>
      </c>
      <c r="AE76" s="59">
        <f>P76+P76*8.1%</f>
        <v>4442562.868199</v>
      </c>
      <c r="AF76" s="134"/>
      <c r="AG76" s="134"/>
      <c r="AH76" s="234">
        <f>948917.94+163090.75+163090.74+179399.82+163090.75+228327.04+97854.45+195708.9+163090.75+146781.67+163090.75+652362.98+587126.69</f>
        <v>3851933.23</v>
      </c>
      <c r="AI76" s="75">
        <f t="shared" si="6"/>
        <v>86.70520472705343</v>
      </c>
    </row>
    <row r="77" spans="1:35" ht="18.75">
      <c r="A77" s="36" t="s">
        <v>123</v>
      </c>
      <c r="B77" s="36"/>
      <c r="C77" s="39" t="s">
        <v>120</v>
      </c>
      <c r="D77" s="55" t="s">
        <v>124</v>
      </c>
      <c r="E77" s="57"/>
      <c r="F77" s="57"/>
      <c r="G77" s="57"/>
      <c r="H77" s="57"/>
      <c r="I77" s="57"/>
      <c r="J77" s="57"/>
      <c r="K77" s="57"/>
      <c r="L77" s="57"/>
      <c r="M77" s="58">
        <v>15799500</v>
      </c>
      <c r="N77" s="71"/>
      <c r="O77" s="62">
        <f>P77+Q77</f>
        <v>38043075.9</v>
      </c>
      <c r="P77" s="58">
        <f>Q77+R77</f>
        <v>19021537.95</v>
      </c>
      <c r="Q77" s="67">
        <f>15542500+3519037.95-40000</f>
        <v>19021537.95</v>
      </c>
      <c r="R77" s="78"/>
      <c r="S77" s="78"/>
      <c r="T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67"/>
      <c r="V77" s="67">
        <f>41814854.5-3647031.42</f>
        <v>38167823.08</v>
      </c>
      <c r="W77" s="67"/>
      <c r="X77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69">
        <f>X77/P77*100</f>
        <v>83.42234409074163</v>
      </c>
      <c r="Z77" s="59">
        <f>13776827+8308804.5+7685000</f>
        <v>29770631.5</v>
      </c>
      <c r="AA77" s="67">
        <f>Z77/P77*100</f>
        <v>156.51011804752625</v>
      </c>
      <c r="AB77" s="80">
        <f>Z77-P77</f>
        <v>10749093.55</v>
      </c>
      <c r="AC77" s="78"/>
      <c r="AD77" s="178">
        <f t="shared" si="8"/>
        <v>16932982.52395</v>
      </c>
      <c r="AE77" s="59">
        <f>P77+P77*8.1%-3629300</f>
        <v>16932982.52395</v>
      </c>
      <c r="AF77" s="134"/>
      <c r="AG77" s="134"/>
      <c r="AH77" s="234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75">
        <f t="shared" si="6"/>
        <v>72.50014634241909</v>
      </c>
    </row>
    <row r="78" spans="1:35" ht="16.5" customHeight="1">
      <c r="A78" s="36"/>
      <c r="B78" s="36"/>
      <c r="C78" s="39"/>
      <c r="D78" s="55" t="s">
        <v>125</v>
      </c>
      <c r="E78" s="56"/>
      <c r="F78" s="56"/>
      <c r="G78" s="56"/>
      <c r="H78" s="56"/>
      <c r="I78" s="56"/>
      <c r="J78" s="56"/>
      <c r="K78" s="56"/>
      <c r="L78" s="56"/>
      <c r="M78" s="82"/>
      <c r="N78" s="83"/>
      <c r="O78" s="84"/>
      <c r="P78" s="58">
        <v>0</v>
      </c>
      <c r="Q78" s="67"/>
      <c r="R78" s="78"/>
      <c r="S78" s="78"/>
      <c r="T78" s="67"/>
      <c r="U78" s="67"/>
      <c r="V78" s="67"/>
      <c r="W78" s="67"/>
      <c r="X78" s="67"/>
      <c r="Y78" s="69"/>
      <c r="Z78" s="59">
        <v>400000</v>
      </c>
      <c r="AA78" s="74"/>
      <c r="AB78" s="76"/>
      <c r="AC78" s="134"/>
      <c r="AD78" s="178">
        <f t="shared" si="8"/>
        <v>200000</v>
      </c>
      <c r="AE78" s="59">
        <f>Z78-200000</f>
        <v>200000</v>
      </c>
      <c r="AF78" s="134"/>
      <c r="AG78" s="134"/>
      <c r="AH78" s="234">
        <v>0</v>
      </c>
      <c r="AI78" s="75">
        <f t="shared" si="6"/>
        <v>0</v>
      </c>
    </row>
    <row r="79" spans="1:35" ht="18.75">
      <c r="A79" s="36"/>
      <c r="B79" s="36"/>
      <c r="C79" s="39"/>
      <c r="D79" s="55" t="s">
        <v>126</v>
      </c>
      <c r="E79" s="56"/>
      <c r="F79" s="56"/>
      <c r="G79" s="56"/>
      <c r="H79" s="56"/>
      <c r="I79" s="56"/>
      <c r="J79" s="56"/>
      <c r="K79" s="56"/>
      <c r="L79" s="56"/>
      <c r="M79" s="82"/>
      <c r="N79" s="83"/>
      <c r="O79" s="84"/>
      <c r="P79" s="58">
        <v>0</v>
      </c>
      <c r="Q79" s="67"/>
      <c r="R79" s="78"/>
      <c r="S79" s="78"/>
      <c r="T79" s="67"/>
      <c r="U79" s="67"/>
      <c r="V79" s="67"/>
      <c r="W79" s="67"/>
      <c r="X79" s="67"/>
      <c r="Y79" s="69"/>
      <c r="Z79" s="59">
        <v>1723114</v>
      </c>
      <c r="AA79" s="74"/>
      <c r="AB79" s="76"/>
      <c r="AC79" s="134"/>
      <c r="AD79" s="178">
        <f t="shared" si="8"/>
        <v>1090324</v>
      </c>
      <c r="AE79" s="59">
        <f>1723114-632790</f>
        <v>1090324</v>
      </c>
      <c r="AF79" s="134"/>
      <c r="AG79" s="134"/>
      <c r="AH79" s="234">
        <v>1090320</v>
      </c>
      <c r="AI79" s="75">
        <f t="shared" si="6"/>
        <v>99.99963313657226</v>
      </c>
    </row>
    <row r="80" spans="1:35" ht="18.75">
      <c r="A80" s="36"/>
      <c r="B80" s="36"/>
      <c r="C80" s="39"/>
      <c r="D80" s="55" t="s">
        <v>224</v>
      </c>
      <c r="E80" s="56"/>
      <c r="F80" s="56"/>
      <c r="G80" s="56"/>
      <c r="H80" s="56"/>
      <c r="I80" s="56"/>
      <c r="J80" s="56"/>
      <c r="K80" s="56"/>
      <c r="L80" s="56"/>
      <c r="M80" s="82"/>
      <c r="N80" s="83"/>
      <c r="O80" s="84"/>
      <c r="P80" s="58"/>
      <c r="Q80" s="67"/>
      <c r="R80" s="78"/>
      <c r="S80" s="78"/>
      <c r="T80" s="67"/>
      <c r="U80" s="67"/>
      <c r="V80" s="67"/>
      <c r="W80" s="67"/>
      <c r="X80" s="67"/>
      <c r="Y80" s="69"/>
      <c r="Z80" s="59"/>
      <c r="AA80" s="74"/>
      <c r="AB80" s="76"/>
      <c r="AC80" s="134"/>
      <c r="AD80" s="178">
        <f>AE80</f>
        <v>632790</v>
      </c>
      <c r="AE80" s="59">
        <v>632790</v>
      </c>
      <c r="AF80" s="134"/>
      <c r="AG80" s="134"/>
      <c r="AH80" s="234">
        <v>0</v>
      </c>
      <c r="AI80" s="75">
        <f t="shared" si="6"/>
        <v>0</v>
      </c>
    </row>
    <row r="81" spans="1:35" s="2" customFormat="1" ht="18.75">
      <c r="A81" s="167" t="s">
        <v>127</v>
      </c>
      <c r="B81" s="167" t="s">
        <v>29</v>
      </c>
      <c r="C81" s="168" t="s">
        <v>129</v>
      </c>
      <c r="D81" s="85" t="s">
        <v>130</v>
      </c>
      <c r="E81" s="56"/>
      <c r="F81" s="56"/>
      <c r="G81" s="56"/>
      <c r="H81" s="56"/>
      <c r="I81" s="56"/>
      <c r="J81" s="56"/>
      <c r="K81" s="56"/>
      <c r="L81" s="56"/>
      <c r="M81" s="65">
        <v>0</v>
      </c>
      <c r="N81" s="83"/>
      <c r="O81" s="66">
        <f>P81+Q81</f>
        <v>514000</v>
      </c>
      <c r="P81" s="65">
        <f>Q81+R81</f>
        <v>257000</v>
      </c>
      <c r="Q81" s="89">
        <v>257000</v>
      </c>
      <c r="R81" s="215"/>
      <c r="S81" s="215"/>
      <c r="T81" s="89">
        <f>23700.62+50875.25+50875.25+50775.25</f>
        <v>176226.37</v>
      </c>
      <c r="U81" s="89"/>
      <c r="V81" s="89">
        <f>P81*(0.9)</f>
        <v>231300</v>
      </c>
      <c r="W81" s="89"/>
      <c r="X81" s="89">
        <f>23700.62+50875.25+50875.25+50775.25</f>
        <v>176226.37</v>
      </c>
      <c r="Y81" s="75">
        <f>X81/P81*100</f>
        <v>68.57057198443579</v>
      </c>
      <c r="Z81" s="187">
        <v>346347.28</v>
      </c>
      <c r="AA81" s="89">
        <f>Z81/P81*100</f>
        <v>134.7654785992218</v>
      </c>
      <c r="AB81" s="217">
        <f>Z81-P81</f>
        <v>89347.28000000003</v>
      </c>
      <c r="AC81" s="215"/>
      <c r="AD81" s="178">
        <f aca="true" t="shared" si="13" ref="AD81:AD90">AE81+AF81</f>
        <v>442817</v>
      </c>
      <c r="AE81" s="187">
        <f>AE82+AE83</f>
        <v>442817</v>
      </c>
      <c r="AF81" s="215"/>
      <c r="AG81" s="215"/>
      <c r="AH81" s="234">
        <f>AH82+AH83</f>
        <v>292817</v>
      </c>
      <c r="AI81" s="75">
        <f t="shared" si="6"/>
        <v>66.12596174040291</v>
      </c>
    </row>
    <row r="82" spans="1:35" s="2" customFormat="1" ht="37.5">
      <c r="A82" s="167"/>
      <c r="B82" s="167"/>
      <c r="C82" s="168"/>
      <c r="D82" s="55" t="s">
        <v>209</v>
      </c>
      <c r="E82" s="56"/>
      <c r="F82" s="56"/>
      <c r="G82" s="56"/>
      <c r="H82" s="56"/>
      <c r="I82" s="56"/>
      <c r="J82" s="56"/>
      <c r="K82" s="56"/>
      <c r="L82" s="56"/>
      <c r="M82" s="65"/>
      <c r="N82" s="83"/>
      <c r="O82" s="66"/>
      <c r="P82" s="65"/>
      <c r="Q82" s="89"/>
      <c r="R82" s="215"/>
      <c r="S82" s="215"/>
      <c r="T82" s="89"/>
      <c r="U82" s="89"/>
      <c r="V82" s="89"/>
      <c r="W82" s="89"/>
      <c r="X82" s="89"/>
      <c r="Y82" s="75"/>
      <c r="Z82" s="187"/>
      <c r="AA82" s="89"/>
      <c r="AB82" s="217"/>
      <c r="AC82" s="215"/>
      <c r="AD82" s="220">
        <f t="shared" si="13"/>
        <v>427817</v>
      </c>
      <c r="AE82" s="59">
        <f>AH82+150000</f>
        <v>427817</v>
      </c>
      <c r="AF82" s="215"/>
      <c r="AG82" s="215"/>
      <c r="AH82" s="236">
        <f>250800+27017</f>
        <v>277817</v>
      </c>
      <c r="AI82" s="75">
        <f aca="true" t="shared" si="14" ref="AI82:AI110">AH82/AE82*100</f>
        <v>64.93827968500551</v>
      </c>
    </row>
    <row r="83" spans="1:35" s="2" customFormat="1" ht="56.25">
      <c r="A83" s="167"/>
      <c r="B83" s="167"/>
      <c r="C83" s="168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65"/>
      <c r="N83" s="83"/>
      <c r="O83" s="66"/>
      <c r="P83" s="65"/>
      <c r="Q83" s="89"/>
      <c r="R83" s="215"/>
      <c r="S83" s="215"/>
      <c r="T83" s="89"/>
      <c r="U83" s="89"/>
      <c r="V83" s="89"/>
      <c r="W83" s="89"/>
      <c r="X83" s="89"/>
      <c r="Y83" s="75"/>
      <c r="Z83" s="187"/>
      <c r="AA83" s="89"/>
      <c r="AB83" s="217"/>
      <c r="AC83" s="215"/>
      <c r="AD83" s="220">
        <f t="shared" si="13"/>
        <v>15000</v>
      </c>
      <c r="AE83" s="59">
        <v>15000</v>
      </c>
      <c r="AF83" s="215"/>
      <c r="AG83" s="215"/>
      <c r="AH83" s="236">
        <v>15000</v>
      </c>
      <c r="AI83" s="75">
        <f t="shared" si="14"/>
        <v>100</v>
      </c>
    </row>
    <row r="84" spans="1:35" s="2" customFormat="1" ht="16.5" customHeight="1">
      <c r="A84" s="167" t="s">
        <v>131</v>
      </c>
      <c r="B84" s="167" t="s">
        <v>30</v>
      </c>
      <c r="C84" s="168" t="s">
        <v>133</v>
      </c>
      <c r="D84" s="85" t="s">
        <v>134</v>
      </c>
      <c r="E84" s="56"/>
      <c r="F84" s="56"/>
      <c r="G84" s="56"/>
      <c r="H84" s="56"/>
      <c r="I84" s="56"/>
      <c r="J84" s="56"/>
      <c r="K84" s="56"/>
      <c r="L84" s="56"/>
      <c r="M84" s="89">
        <f>L84</f>
        <v>0</v>
      </c>
      <c r="N84" s="83"/>
      <c r="O84" s="66">
        <f>O85</f>
        <v>1930883.46</v>
      </c>
      <c r="P84" s="65">
        <f>P85</f>
        <v>1930883.46</v>
      </c>
      <c r="Q84" s="89">
        <f>P84</f>
        <v>1930883.46</v>
      </c>
      <c r="R84" s="63"/>
      <c r="S84" s="63"/>
      <c r="T84" s="89">
        <f>T85</f>
        <v>859642.65</v>
      </c>
      <c r="U84" s="89"/>
      <c r="V84" s="89">
        <f>P84*(0.9)</f>
        <v>1737795.114</v>
      </c>
      <c r="W84" s="89"/>
      <c r="X84" s="89">
        <f>X85</f>
        <v>859642.65</v>
      </c>
      <c r="Y84" s="75">
        <f>X84/P84*100</f>
        <v>44.52069054442053</v>
      </c>
      <c r="Z84" s="187">
        <f>Z85</f>
        <v>17397438</v>
      </c>
      <c r="AA84" s="89">
        <f aca="true" t="shared" si="15" ref="AA84:AA90">Z84/P84*100</f>
        <v>901.0092198935714</v>
      </c>
      <c r="AB84" s="217">
        <f aca="true" t="shared" si="16" ref="AB84:AB90">Z84-P84</f>
        <v>15466554.54</v>
      </c>
      <c r="AC84" s="63"/>
      <c r="AD84" s="178">
        <f t="shared" si="13"/>
        <v>7173700</v>
      </c>
      <c r="AE84" s="187">
        <f>AE85+AE91</f>
        <v>7173700</v>
      </c>
      <c r="AF84" s="215"/>
      <c r="AG84" s="215"/>
      <c r="AH84" s="234">
        <f>AH85</f>
        <v>3631947.0400000005</v>
      </c>
      <c r="AI84" s="75">
        <f t="shared" si="14"/>
        <v>50.628644074884654</v>
      </c>
    </row>
    <row r="85" spans="1:37" ht="57" customHeight="1">
      <c r="A85" s="36"/>
      <c r="B85" s="36"/>
      <c r="C85" s="39"/>
      <c r="D85" s="55" t="s">
        <v>233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</f>
        <v>1930883.46</v>
      </c>
      <c r="P85" s="58">
        <v>1930883.46</v>
      </c>
      <c r="Q85" s="67">
        <v>1589311.46</v>
      </c>
      <c r="R85" s="68"/>
      <c r="S85" s="68"/>
      <c r="T85" s="50">
        <f>201636.21+106959.16+388332+795.26+161920.02</f>
        <v>859642.65</v>
      </c>
      <c r="U85" s="50"/>
      <c r="V85" s="50">
        <f>V86+V87</f>
        <v>17397438</v>
      </c>
      <c r="W85" s="50">
        <v>10385400</v>
      </c>
      <c r="X85" s="67">
        <f>201636.21+106959.16+388332+795.26+161920.02</f>
        <v>859642.65</v>
      </c>
      <c r="Y85" s="69">
        <f>X85/P85*100</f>
        <v>44.52069054442053</v>
      </c>
      <c r="Z85" s="59">
        <v>17397438</v>
      </c>
      <c r="AA85" s="50">
        <f t="shared" si="15"/>
        <v>901.0092198935714</v>
      </c>
      <c r="AB85" s="51">
        <f t="shared" si="16"/>
        <v>15466554.54</v>
      </c>
      <c r="AC85" s="78" t="s">
        <v>135</v>
      </c>
      <c r="AD85" s="220">
        <f t="shared" si="13"/>
        <v>7023700</v>
      </c>
      <c r="AE85" s="188">
        <v>7023700</v>
      </c>
      <c r="AF85" s="63"/>
      <c r="AG85" s="63"/>
      <c r="AH85" s="236">
        <f>956537.59+157430.78+70729.77+216774.62+262291.41+34296+344138.34+1517.33+279207.2+343997.88+2676.91+268283.02+9985.34+221829.51+112845.74+29553.96+20446.04+187425.46+111980.14</f>
        <v>3631947.0400000005</v>
      </c>
      <c r="AI85" s="69">
        <f t="shared" si="14"/>
        <v>51.70988282529152</v>
      </c>
      <c r="AK85" s="93"/>
    </row>
    <row r="86" spans="1:35" ht="18.75" hidden="1">
      <c r="A86" s="36"/>
      <c r="B86" s="36"/>
      <c r="C86" s="39"/>
      <c r="D86" s="86" t="s">
        <v>136</v>
      </c>
      <c r="E86" s="56"/>
      <c r="F86" s="56"/>
      <c r="G86" s="56"/>
      <c r="H86" s="56"/>
      <c r="I86" s="56"/>
      <c r="J86" s="56"/>
      <c r="K86" s="56"/>
      <c r="L86" s="56"/>
      <c r="M86" s="65">
        <v>0</v>
      </c>
      <c r="N86" s="83"/>
      <c r="O86" s="62"/>
      <c r="P86" s="87">
        <v>1145765.29</v>
      </c>
      <c r="Q86" s="67"/>
      <c r="R86" s="88"/>
      <c r="S86" s="88"/>
      <c r="T86" s="74"/>
      <c r="U86" s="74"/>
      <c r="V86" s="67">
        <v>12523990</v>
      </c>
      <c r="W86" s="67"/>
      <c r="X86" s="89"/>
      <c r="Y86" s="75"/>
      <c r="Z86" s="90">
        <v>12523990</v>
      </c>
      <c r="AA86" s="74">
        <f t="shared" si="15"/>
        <v>1093.0676735721327</v>
      </c>
      <c r="AB86" s="76">
        <f t="shared" si="16"/>
        <v>11378224.71</v>
      </c>
      <c r="AC86" s="134"/>
      <c r="AD86" s="220">
        <f t="shared" si="13"/>
        <v>0</v>
      </c>
      <c r="AE86" s="59"/>
      <c r="AF86" s="134"/>
      <c r="AG86" s="134"/>
      <c r="AH86" s="236"/>
      <c r="AI86" s="69" t="e">
        <f t="shared" si="14"/>
        <v>#DIV/0!</v>
      </c>
    </row>
    <row r="87" spans="1:35" ht="18.75" hidden="1">
      <c r="A87" s="36"/>
      <c r="B87" s="36"/>
      <c r="C87" s="39"/>
      <c r="D87" s="86" t="s">
        <v>137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2"/>
      <c r="P87" s="87">
        <v>443546.17</v>
      </c>
      <c r="Q87" s="67"/>
      <c r="R87" s="88"/>
      <c r="S87" s="88"/>
      <c r="T87" s="74"/>
      <c r="U87" s="74"/>
      <c r="V87" s="67">
        <v>4873448</v>
      </c>
      <c r="W87" s="67"/>
      <c r="X87" s="89"/>
      <c r="Y87" s="75"/>
      <c r="Z87" s="90">
        <v>4873448</v>
      </c>
      <c r="AA87" s="74">
        <f t="shared" si="15"/>
        <v>1098.746495770666</v>
      </c>
      <c r="AB87" s="76">
        <f t="shared" si="16"/>
        <v>4429901.83</v>
      </c>
      <c r="AC87" s="134"/>
      <c r="AD87" s="220">
        <f t="shared" si="13"/>
        <v>0</v>
      </c>
      <c r="AE87" s="59"/>
      <c r="AF87" s="134"/>
      <c r="AG87" s="134"/>
      <c r="AH87" s="236"/>
      <c r="AI87" s="69" t="e">
        <f t="shared" si="14"/>
        <v>#DIV/0!</v>
      </c>
    </row>
    <row r="88" spans="1:35" ht="18.75" hidden="1">
      <c r="A88" s="36" t="s">
        <v>138</v>
      </c>
      <c r="B88" s="36"/>
      <c r="C88" s="92"/>
      <c r="D88" s="221" t="s">
        <v>139</v>
      </c>
      <c r="E88" s="73">
        <f>20554.4+1254+42.4</f>
        <v>21850.800000000003</v>
      </c>
      <c r="F88" s="73">
        <f>20118.2+1254+42.4</f>
        <v>21414.600000000002</v>
      </c>
      <c r="G88" s="73">
        <f>166.5+18.4</f>
        <v>184.9</v>
      </c>
      <c r="H88" s="73">
        <f>19951.7+1254+24</f>
        <v>21229.7</v>
      </c>
      <c r="I88" s="222">
        <f>25447.6+198</f>
        <v>25645.6</v>
      </c>
      <c r="J88" s="222">
        <v>10120.4</v>
      </c>
      <c r="K88" s="73">
        <v>21229.7</v>
      </c>
      <c r="L88" s="222"/>
      <c r="M88" s="74">
        <f>M89+M90</f>
        <v>25052300</v>
      </c>
      <c r="N88" s="222"/>
      <c r="O88" s="84">
        <f>P88+Q88</f>
        <v>18162154.96</v>
      </c>
      <c r="P88" s="82"/>
      <c r="Q88" s="74">
        <f>Q89+Q90</f>
        <v>18162154.96</v>
      </c>
      <c r="R88" s="134"/>
      <c r="S88" s="134"/>
      <c r="T88" s="74">
        <f>T89+T90</f>
        <v>18162151.85</v>
      </c>
      <c r="U88" s="74"/>
      <c r="V88" s="74">
        <v>0</v>
      </c>
      <c r="W88" s="74"/>
      <c r="X88" s="74">
        <f>X89+X90</f>
        <v>18162151.85</v>
      </c>
      <c r="Y88" s="75" t="e">
        <f>X88/P88*100</f>
        <v>#DIV/0!</v>
      </c>
      <c r="Z88" s="82">
        <f>Z89+Z90</f>
        <v>0</v>
      </c>
      <c r="AA88" s="74" t="e">
        <f t="shared" si="15"/>
        <v>#DIV/0!</v>
      </c>
      <c r="AB88" s="76">
        <f t="shared" si="16"/>
        <v>0</v>
      </c>
      <c r="AC88" s="134"/>
      <c r="AD88" s="220">
        <f t="shared" si="13"/>
        <v>0</v>
      </c>
      <c r="AE88" s="59"/>
      <c r="AF88" s="134"/>
      <c r="AG88" s="134"/>
      <c r="AH88" s="236"/>
      <c r="AI88" s="69" t="e">
        <f t="shared" si="14"/>
        <v>#DIV/0!</v>
      </c>
    </row>
    <row r="89" spans="1:35" ht="56.25" hidden="1">
      <c r="A89" s="38"/>
      <c r="B89" s="38"/>
      <c r="C89" s="283" t="s">
        <v>140</v>
      </c>
      <c r="D89" s="166" t="s">
        <v>86</v>
      </c>
      <c r="E89" s="56"/>
      <c r="F89" s="56"/>
      <c r="G89" s="56"/>
      <c r="H89" s="56"/>
      <c r="I89" s="223"/>
      <c r="J89" s="223"/>
      <c r="K89" s="223"/>
      <c r="L89" s="224"/>
      <c r="M89" s="98">
        <v>7232100</v>
      </c>
      <c r="N89" s="83"/>
      <c r="O89" s="62">
        <f>P89+Q89</f>
        <v>13707388.44</v>
      </c>
      <c r="P89" s="58">
        <f>Q89+R89</f>
        <v>6853694.22</v>
      </c>
      <c r="Q89" s="46">
        <f>7232100-378405.78</f>
        <v>6853694.22</v>
      </c>
      <c r="R89" s="134"/>
      <c r="S89" s="134"/>
      <c r="T89" s="46">
        <f>1341065+264830+1439254.25+119395.75+507870+59340+35936.5+335196.18+472850.38+220509.52+38684.18+107682.7+71415+175089.2+268474.5+377603.92+171362.7+194439.28+227897.54+71415+353382.62</f>
        <v>6853694.220000001</v>
      </c>
      <c r="U89" s="46"/>
      <c r="V89" s="74">
        <v>0</v>
      </c>
      <c r="W89" s="74"/>
      <c r="X89" s="46">
        <f>1341065+264830+1439254.25+119395.75+507870+59340+35936.5+335196.18+472850.38+220509.52+38684.18+107682.7+71415+175089.2+268474.5+377603.92+171362.7+194439.28+227897.54+71415+353382.62</f>
        <v>6853694.220000001</v>
      </c>
      <c r="Y89" s="64">
        <f>X89/P89*100</f>
        <v>100.00000000000003</v>
      </c>
      <c r="Z89" s="116">
        <v>0</v>
      </c>
      <c r="AA89" s="74">
        <f t="shared" si="15"/>
        <v>0</v>
      </c>
      <c r="AB89" s="76">
        <f t="shared" si="16"/>
        <v>-6853694.22</v>
      </c>
      <c r="AC89" s="134"/>
      <c r="AD89" s="220">
        <f t="shared" si="13"/>
        <v>0</v>
      </c>
      <c r="AE89" s="59"/>
      <c r="AF89" s="134"/>
      <c r="AG89" s="134"/>
      <c r="AH89" s="236"/>
      <c r="AI89" s="69" t="e">
        <f t="shared" si="14"/>
        <v>#DIV/0!</v>
      </c>
    </row>
    <row r="90" spans="1:35" ht="56.25" hidden="1">
      <c r="A90" s="38"/>
      <c r="B90" s="38"/>
      <c r="C90" s="283"/>
      <c r="D90" s="186" t="s">
        <v>87</v>
      </c>
      <c r="E90" s="56"/>
      <c r="F90" s="56"/>
      <c r="G90" s="56"/>
      <c r="H90" s="56"/>
      <c r="I90" s="223"/>
      <c r="J90" s="223"/>
      <c r="K90" s="223"/>
      <c r="L90" s="224"/>
      <c r="M90" s="98">
        <v>17820200</v>
      </c>
      <c r="N90" s="83"/>
      <c r="O90" s="62">
        <f>P90+Q90</f>
        <v>22616921.48</v>
      </c>
      <c r="P90" s="58">
        <f>Q90+R90</f>
        <v>11308460.74</v>
      </c>
      <c r="Q90" s="46">
        <f>17820200-6511739.26</f>
        <v>11308460.74</v>
      </c>
      <c r="R90" s="134"/>
      <c r="S90" s="134"/>
      <c r="T90" s="46">
        <f>485919.56+3050150.33+4015340.79+1228787.45+1461675.45+214759.4+851824.65</f>
        <v>11308457.629999999</v>
      </c>
      <c r="U90" s="46"/>
      <c r="V90" s="74">
        <v>0</v>
      </c>
      <c r="W90" s="74"/>
      <c r="X90" s="46">
        <f>485919.56+3050150.33+4015340.79+1228787.45+1461675.45+214759.4+851824.65</f>
        <v>11308457.629999999</v>
      </c>
      <c r="Y90" s="64">
        <f>X90/P90*100</f>
        <v>99.99997249846754</v>
      </c>
      <c r="Z90" s="116">
        <v>0</v>
      </c>
      <c r="AA90" s="74">
        <f t="shared" si="15"/>
        <v>0</v>
      </c>
      <c r="AB90" s="76">
        <f t="shared" si="16"/>
        <v>-11308460.74</v>
      </c>
      <c r="AC90" s="134"/>
      <c r="AD90" s="220">
        <f t="shared" si="13"/>
        <v>0</v>
      </c>
      <c r="AE90" s="59"/>
      <c r="AF90" s="134"/>
      <c r="AG90" s="134"/>
      <c r="AH90" s="236"/>
      <c r="AI90" s="69" t="e">
        <f t="shared" si="14"/>
        <v>#DIV/0!</v>
      </c>
    </row>
    <row r="91" spans="1:35" ht="37.5">
      <c r="A91" s="38"/>
      <c r="B91" s="38"/>
      <c r="C91" s="184"/>
      <c r="D91" s="186" t="s">
        <v>210</v>
      </c>
      <c r="E91" s="56"/>
      <c r="F91" s="56"/>
      <c r="G91" s="56"/>
      <c r="H91" s="56"/>
      <c r="I91" s="223"/>
      <c r="J91" s="223"/>
      <c r="K91" s="223"/>
      <c r="L91" s="224"/>
      <c r="M91" s="98"/>
      <c r="N91" s="83"/>
      <c r="O91" s="62"/>
      <c r="P91" s="58"/>
      <c r="Q91" s="46"/>
      <c r="R91" s="134"/>
      <c r="S91" s="134"/>
      <c r="T91" s="46"/>
      <c r="U91" s="46"/>
      <c r="V91" s="74"/>
      <c r="W91" s="74"/>
      <c r="X91" s="46"/>
      <c r="Y91" s="64"/>
      <c r="Z91" s="116"/>
      <c r="AA91" s="74"/>
      <c r="AB91" s="76"/>
      <c r="AC91" s="134"/>
      <c r="AD91" s="220">
        <f>AE91</f>
        <v>150000</v>
      </c>
      <c r="AE91" s="59">
        <v>150000</v>
      </c>
      <c r="AF91" s="134"/>
      <c r="AG91" s="134"/>
      <c r="AH91" s="236">
        <v>0</v>
      </c>
      <c r="AI91" s="69">
        <f t="shared" si="14"/>
        <v>0</v>
      </c>
    </row>
    <row r="92" spans="1:35" s="2" customFormat="1" ht="18.75">
      <c r="A92" s="167"/>
      <c r="B92" s="167" t="s">
        <v>31</v>
      </c>
      <c r="C92" s="168" t="s">
        <v>89</v>
      </c>
      <c r="D92" s="85" t="s">
        <v>90</v>
      </c>
      <c r="E92" s="56"/>
      <c r="F92" s="56"/>
      <c r="G92" s="56"/>
      <c r="H92" s="56"/>
      <c r="I92" s="56"/>
      <c r="J92" s="56"/>
      <c r="K92" s="56"/>
      <c r="L92" s="56"/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/>
      <c r="V92" s="89">
        <v>212856.4</v>
      </c>
      <c r="W92" s="89"/>
      <c r="X92" s="65">
        <v>0</v>
      </c>
      <c r="Y92" s="65">
        <v>0</v>
      </c>
      <c r="Z92" s="187">
        <f>Z93+Z94</f>
        <v>212856.4</v>
      </c>
      <c r="AA92" s="89"/>
      <c r="AB92" s="217">
        <f aca="true" t="shared" si="17" ref="AB92:AB106">Z92-P92</f>
        <v>212856.4</v>
      </c>
      <c r="AC92" s="63"/>
      <c r="AD92" s="178">
        <f aca="true" t="shared" si="18" ref="AD92:AD106">AE92+AF92</f>
        <v>212856.4</v>
      </c>
      <c r="AE92" s="187">
        <f>AE93+AE94</f>
        <v>212856.4</v>
      </c>
      <c r="AF92" s="215"/>
      <c r="AG92" s="215"/>
      <c r="AH92" s="234">
        <f>AH93+AH94</f>
        <v>0</v>
      </c>
      <c r="AI92" s="75">
        <f t="shared" si="14"/>
        <v>0</v>
      </c>
    </row>
    <row r="93" spans="1:35" ht="18.75">
      <c r="A93" s="38"/>
      <c r="B93" s="38"/>
      <c r="C93" s="39"/>
      <c r="D93" s="55" t="s">
        <v>145</v>
      </c>
      <c r="E93" s="73"/>
      <c r="F93" s="73"/>
      <c r="G93" s="73"/>
      <c r="H93" s="73"/>
      <c r="I93" s="73"/>
      <c r="J93" s="73"/>
      <c r="K93" s="73"/>
      <c r="L93" s="73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/>
      <c r="V93" s="74">
        <f>P93*(0.9)</f>
        <v>0</v>
      </c>
      <c r="W93" s="74"/>
      <c r="X93" s="58">
        <v>0</v>
      </c>
      <c r="Y93" s="58">
        <v>0</v>
      </c>
      <c r="Z93" s="59">
        <v>100000</v>
      </c>
      <c r="AA93" s="74" t="e">
        <f aca="true" t="shared" si="19" ref="AA93:AA106">Z93/P93*100</f>
        <v>#DIV/0!</v>
      </c>
      <c r="AB93" s="76">
        <f t="shared" si="17"/>
        <v>100000</v>
      </c>
      <c r="AC93" s="63"/>
      <c r="AD93" s="220">
        <f t="shared" si="18"/>
        <v>100000</v>
      </c>
      <c r="AE93" s="59">
        <v>100000</v>
      </c>
      <c r="AF93" s="134"/>
      <c r="AG93" s="134"/>
      <c r="AH93" s="236">
        <v>0</v>
      </c>
      <c r="AI93" s="69">
        <f t="shared" si="14"/>
        <v>0</v>
      </c>
    </row>
    <row r="94" spans="1:35" ht="19.5" customHeight="1">
      <c r="A94" s="38"/>
      <c r="B94" s="38"/>
      <c r="C94" s="39"/>
      <c r="D94" s="55" t="s">
        <v>146</v>
      </c>
      <c r="E94" s="73"/>
      <c r="F94" s="73"/>
      <c r="G94" s="73"/>
      <c r="H94" s="73"/>
      <c r="I94" s="73"/>
      <c r="J94" s="73"/>
      <c r="K94" s="73"/>
      <c r="L94" s="73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/>
      <c r="V94" s="74">
        <f>P94*(0.9)</f>
        <v>0</v>
      </c>
      <c r="W94" s="74"/>
      <c r="X94" s="58">
        <v>0</v>
      </c>
      <c r="Y94" s="58">
        <v>0</v>
      </c>
      <c r="Z94" s="59">
        <v>112856.4</v>
      </c>
      <c r="AA94" s="74" t="e">
        <f t="shared" si="19"/>
        <v>#DIV/0!</v>
      </c>
      <c r="AB94" s="76">
        <f t="shared" si="17"/>
        <v>112856.4</v>
      </c>
      <c r="AC94" s="63"/>
      <c r="AD94" s="220">
        <f t="shared" si="18"/>
        <v>112856.4</v>
      </c>
      <c r="AE94" s="59">
        <v>112856.4</v>
      </c>
      <c r="AF94" s="134"/>
      <c r="AG94" s="134"/>
      <c r="AH94" s="236">
        <v>0</v>
      </c>
      <c r="AI94" s="69">
        <f t="shared" si="14"/>
        <v>0</v>
      </c>
    </row>
    <row r="95" spans="1:35" s="2" customFormat="1" ht="22.5" customHeight="1">
      <c r="A95" s="167" t="s">
        <v>147</v>
      </c>
      <c r="B95" s="167" t="s">
        <v>32</v>
      </c>
      <c r="C95" s="168"/>
      <c r="D95" s="225" t="s">
        <v>149</v>
      </c>
      <c r="E95" s="95"/>
      <c r="F95" s="95"/>
      <c r="G95" s="95"/>
      <c r="H95" s="95"/>
      <c r="I95" s="95"/>
      <c r="J95" s="95"/>
      <c r="K95" s="95"/>
      <c r="L95" s="95"/>
      <c r="M95" s="226">
        <f>M97+M96</f>
        <v>325000</v>
      </c>
      <c r="N95" s="95"/>
      <c r="O95" s="66">
        <f aca="true" t="shared" si="20" ref="O95:O106">P95+Q95</f>
        <v>2067000</v>
      </c>
      <c r="P95" s="65">
        <f aca="true" t="shared" si="21" ref="P95:P106">Q95+R95</f>
        <v>1033500</v>
      </c>
      <c r="Q95" s="227">
        <f>Q97+Q96</f>
        <v>1033500</v>
      </c>
      <c r="R95" s="68"/>
      <c r="S95" s="68"/>
      <c r="T95" s="227">
        <f>T97+T96</f>
        <v>669069.4899999999</v>
      </c>
      <c r="U95" s="227"/>
      <c r="V95" s="227">
        <f>V97+V96</f>
        <v>1189112</v>
      </c>
      <c r="W95" s="67"/>
      <c r="X95" s="227">
        <f>X97+X96</f>
        <v>669069.4899999999</v>
      </c>
      <c r="Y95" s="69">
        <f>X95/P95*100</f>
        <v>64.73821867440735</v>
      </c>
      <c r="Z95" s="228">
        <f>Z97+Z96</f>
        <v>1189112</v>
      </c>
      <c r="AA95" s="67">
        <f t="shared" si="19"/>
        <v>115.05679729075955</v>
      </c>
      <c r="AB95" s="80">
        <f t="shared" si="17"/>
        <v>155612</v>
      </c>
      <c r="AC95" s="262" t="s">
        <v>150</v>
      </c>
      <c r="AD95" s="178">
        <f t="shared" si="18"/>
        <v>1189112</v>
      </c>
      <c r="AE95" s="229">
        <v>1189112</v>
      </c>
      <c r="AF95" s="215"/>
      <c r="AG95" s="215"/>
      <c r="AH95" s="234">
        <f>AH96+AH97</f>
        <v>190899.8</v>
      </c>
      <c r="AI95" s="75">
        <f t="shared" si="14"/>
        <v>16.053979776505493</v>
      </c>
    </row>
    <row r="96" spans="1:35" ht="19.5">
      <c r="A96" s="38"/>
      <c r="B96" s="38"/>
      <c r="C96" s="39" t="s">
        <v>151</v>
      </c>
      <c r="D96" s="55" t="s">
        <v>152</v>
      </c>
      <c r="E96" s="95"/>
      <c r="F96" s="95"/>
      <c r="G96" s="95"/>
      <c r="H96" s="95"/>
      <c r="I96" s="95"/>
      <c r="J96" s="95"/>
      <c r="K96" s="95"/>
      <c r="L96" s="95"/>
      <c r="M96" s="96">
        <v>225000</v>
      </c>
      <c r="N96" s="95"/>
      <c r="O96" s="62">
        <f t="shared" si="20"/>
        <v>1867000</v>
      </c>
      <c r="P96" s="58">
        <f t="shared" si="21"/>
        <v>933500</v>
      </c>
      <c r="Q96" s="97">
        <f>225000+378500+30000+300000</f>
        <v>933500</v>
      </c>
      <c r="R96" s="68"/>
      <c r="S96" s="68"/>
      <c r="T96" s="97">
        <f>12823.97+314438.51+1053.06+121644.29+64211.93+20568.88+13082.39+4993.7+64170</f>
        <v>616986.7299999999</v>
      </c>
      <c r="U96" s="97"/>
      <c r="V96" s="72">
        <v>1089113.5</v>
      </c>
      <c r="W96" s="50"/>
      <c r="X96" s="97">
        <f>12823.97+314438.51+1053.06+121644.29+64211.93+20568.88+13082.39+4993.7+64170</f>
        <v>616986.7299999999</v>
      </c>
      <c r="Y96" s="69">
        <f>X96/P96*100</f>
        <v>66.09391858596678</v>
      </c>
      <c r="Z96" s="59">
        <v>1089113.5</v>
      </c>
      <c r="AA96" s="50">
        <f t="shared" si="19"/>
        <v>116.66989823245848</v>
      </c>
      <c r="AB96" s="51">
        <f t="shared" si="17"/>
        <v>155613.5</v>
      </c>
      <c r="AC96" s="262"/>
      <c r="AD96" s="220">
        <f t="shared" si="18"/>
        <v>1089113.5</v>
      </c>
      <c r="AE96" s="98">
        <f>Z96</f>
        <v>1089113.5</v>
      </c>
      <c r="AF96" s="134"/>
      <c r="AG96" s="134"/>
      <c r="AH96" s="236">
        <f>64659.38+110882.59</f>
        <v>175541.97</v>
      </c>
      <c r="AI96" s="69">
        <f t="shared" si="14"/>
        <v>16.117876603310858</v>
      </c>
    </row>
    <row r="97" spans="1:35" ht="19.5">
      <c r="A97" s="38"/>
      <c r="B97" s="38"/>
      <c r="C97" s="39" t="s">
        <v>151</v>
      </c>
      <c r="D97" s="55" t="s">
        <v>153</v>
      </c>
      <c r="E97" s="95"/>
      <c r="F97" s="95"/>
      <c r="G97" s="95"/>
      <c r="H97" s="95"/>
      <c r="I97" s="95"/>
      <c r="J97" s="95"/>
      <c r="K97" s="95"/>
      <c r="L97" s="95"/>
      <c r="M97" s="96">
        <v>100000</v>
      </c>
      <c r="N97" s="95"/>
      <c r="O97" s="62">
        <f t="shared" si="20"/>
        <v>200000</v>
      </c>
      <c r="P97" s="58">
        <f t="shared" si="21"/>
        <v>100000</v>
      </c>
      <c r="Q97" s="97">
        <v>100000</v>
      </c>
      <c r="R97" s="68"/>
      <c r="S97" s="68"/>
      <c r="T97" s="97">
        <f>385.27+6084.22+13129.31+12261.98+8270.72+11951.26</f>
        <v>52082.76</v>
      </c>
      <c r="U97" s="97"/>
      <c r="V97" s="72">
        <v>99998.5</v>
      </c>
      <c r="W97" s="50"/>
      <c r="X97" s="97">
        <f>385.27+6084.22+13129.31+12261.98+8270.72+11951.26</f>
        <v>52082.76</v>
      </c>
      <c r="Y97" s="69">
        <f>X97/P97*100</f>
        <v>52.08276000000001</v>
      </c>
      <c r="Z97" s="59">
        <v>99998.5</v>
      </c>
      <c r="AA97" s="50">
        <f t="shared" si="19"/>
        <v>99.9985</v>
      </c>
      <c r="AB97" s="51">
        <f t="shared" si="17"/>
        <v>-1.5</v>
      </c>
      <c r="AC97" s="262"/>
      <c r="AD97" s="220">
        <f t="shared" si="18"/>
        <v>99998.5</v>
      </c>
      <c r="AE97" s="98">
        <f>Z97</f>
        <v>99998.5</v>
      </c>
      <c r="AF97" s="134"/>
      <c r="AG97" s="134"/>
      <c r="AH97" s="236">
        <f>3627.67+2979.18+4331.94+2234.3+2184.74</f>
        <v>15357.83</v>
      </c>
      <c r="AI97" s="69">
        <f t="shared" si="14"/>
        <v>15.358060370905562</v>
      </c>
    </row>
    <row r="98" spans="1:35" s="2" customFormat="1" ht="18.75">
      <c r="A98" s="167" t="s">
        <v>154</v>
      </c>
      <c r="B98" s="167" t="s">
        <v>33</v>
      </c>
      <c r="C98" s="168" t="s">
        <v>151</v>
      </c>
      <c r="D98" s="85" t="s">
        <v>156</v>
      </c>
      <c r="E98" s="56" t="e">
        <f>#REF!+#REF!</f>
        <v>#REF!</v>
      </c>
      <c r="F98" s="56" t="e">
        <f>#REF!+#REF!</f>
        <v>#REF!</v>
      </c>
      <c r="G98" s="56" t="e">
        <f>#REF!+#REF!</f>
        <v>#REF!</v>
      </c>
      <c r="H98" s="56" t="e">
        <f>#REF!+#REF!</f>
        <v>#REF!</v>
      </c>
      <c r="I98" s="56" t="e">
        <f>#REF!+#REF!</f>
        <v>#REF!</v>
      </c>
      <c r="J98" s="56"/>
      <c r="K98" s="56">
        <v>3916.0000000000005</v>
      </c>
      <c r="L98" s="56"/>
      <c r="M98" s="65">
        <v>59112.8</v>
      </c>
      <c r="N98" s="56"/>
      <c r="O98" s="66">
        <f t="shared" si="20"/>
        <v>118225.6</v>
      </c>
      <c r="P98" s="65">
        <f t="shared" si="21"/>
        <v>59112.8</v>
      </c>
      <c r="Q98" s="89">
        <f>59136-23.2</f>
        <v>59112.8</v>
      </c>
      <c r="R98" s="63"/>
      <c r="S98" s="63"/>
      <c r="T98" s="89">
        <v>15318.9</v>
      </c>
      <c r="U98" s="89"/>
      <c r="V98" s="89">
        <v>208100</v>
      </c>
      <c r="W98" s="89"/>
      <c r="X98" s="89">
        <v>15318.9</v>
      </c>
      <c r="Y98" s="75">
        <f>X98/P98*100</f>
        <v>25.91469191105818</v>
      </c>
      <c r="Z98" s="187">
        <v>208100</v>
      </c>
      <c r="AA98" s="89">
        <f t="shared" si="19"/>
        <v>352.03881392862456</v>
      </c>
      <c r="AB98" s="217">
        <f t="shared" si="17"/>
        <v>148987.2</v>
      </c>
      <c r="AC98" s="63" t="s">
        <v>157</v>
      </c>
      <c r="AD98" s="178">
        <f t="shared" si="18"/>
        <v>76052.53</v>
      </c>
      <c r="AE98" s="187">
        <f>P98+11241.06+5698.67</f>
        <v>76052.53</v>
      </c>
      <c r="AF98" s="215"/>
      <c r="AG98" s="215"/>
      <c r="AH98" s="234">
        <v>32017.68</v>
      </c>
      <c r="AI98" s="75">
        <f t="shared" si="14"/>
        <v>42.09942785598323</v>
      </c>
    </row>
    <row r="99" spans="1:35" s="2" customFormat="1" ht="18.75">
      <c r="A99" s="167" t="s">
        <v>158</v>
      </c>
      <c r="B99" s="167" t="s">
        <v>34</v>
      </c>
      <c r="C99" s="168" t="s">
        <v>151</v>
      </c>
      <c r="D99" s="85" t="s">
        <v>160</v>
      </c>
      <c r="E99" s="56"/>
      <c r="F99" s="56"/>
      <c r="G99" s="56"/>
      <c r="H99" s="56"/>
      <c r="I99" s="56"/>
      <c r="J99" s="56"/>
      <c r="K99" s="56"/>
      <c r="L99" s="56"/>
      <c r="M99" s="65">
        <v>0</v>
      </c>
      <c r="N99" s="56"/>
      <c r="O99" s="66">
        <f t="shared" si="20"/>
        <v>54000</v>
      </c>
      <c r="P99" s="65">
        <f t="shared" si="21"/>
        <v>27000</v>
      </c>
      <c r="Q99" s="89">
        <v>27000</v>
      </c>
      <c r="R99" s="63"/>
      <c r="S99" s="63"/>
      <c r="T99" s="89">
        <f>8994.7+8994.7</f>
        <v>17989.4</v>
      </c>
      <c r="U99" s="89"/>
      <c r="V99" s="89">
        <v>62426.4</v>
      </c>
      <c r="W99" s="89"/>
      <c r="X99" s="89">
        <f>8994.7+8994.7</f>
        <v>17989.4</v>
      </c>
      <c r="Y99" s="75"/>
      <c r="Z99" s="187">
        <v>62426.4</v>
      </c>
      <c r="AA99" s="89">
        <f t="shared" si="19"/>
        <v>231.20888888888888</v>
      </c>
      <c r="AB99" s="217">
        <f t="shared" si="17"/>
        <v>35426.4</v>
      </c>
      <c r="AC99" s="63" t="s">
        <v>79</v>
      </c>
      <c r="AD99" s="178">
        <f t="shared" si="18"/>
        <v>107172</v>
      </c>
      <c r="AE99" s="187">
        <f>62426.4+44745.6</f>
        <v>107172</v>
      </c>
      <c r="AF99" s="215"/>
      <c r="AG99" s="215"/>
      <c r="AH99" s="234">
        <f>20125.35+17371.35+1115.07</f>
        <v>38611.77</v>
      </c>
      <c r="AI99" s="75">
        <f t="shared" si="14"/>
        <v>36.02785242414063</v>
      </c>
    </row>
    <row r="100" spans="1:35" ht="37.5" hidden="1">
      <c r="A100" s="36" t="s">
        <v>161</v>
      </c>
      <c r="B100" s="36" t="s">
        <v>162</v>
      </c>
      <c r="C100" s="37" t="s">
        <v>163</v>
      </c>
      <c r="D100" s="221" t="s">
        <v>164</v>
      </c>
      <c r="E100" s="73"/>
      <c r="F100" s="73"/>
      <c r="G100" s="73"/>
      <c r="H100" s="73"/>
      <c r="I100" s="73"/>
      <c r="J100" s="73"/>
      <c r="K100" s="73"/>
      <c r="L100" s="73"/>
      <c r="M100" s="82">
        <v>0</v>
      </c>
      <c r="N100" s="73"/>
      <c r="O100" s="84">
        <f t="shared" si="20"/>
        <v>10951615.36</v>
      </c>
      <c r="P100" s="82">
        <f t="shared" si="21"/>
        <v>5475807.68</v>
      </c>
      <c r="Q100" s="74">
        <v>5475807.68</v>
      </c>
      <c r="R100" s="216"/>
      <c r="S100" s="63"/>
      <c r="T100" s="97">
        <v>5475807.68</v>
      </c>
      <c r="U100" s="97"/>
      <c r="V100" s="74">
        <v>0</v>
      </c>
      <c r="W100" s="74"/>
      <c r="X100" s="97">
        <v>5475807.68</v>
      </c>
      <c r="Y100" s="69">
        <f>X100/P100*100</f>
        <v>100</v>
      </c>
      <c r="Z100" s="82">
        <f>Z101+Z102+Z103</f>
        <v>0</v>
      </c>
      <c r="AA100" s="74">
        <f t="shared" si="19"/>
        <v>0</v>
      </c>
      <c r="AB100" s="76">
        <f t="shared" si="17"/>
        <v>-5475807.68</v>
      </c>
      <c r="AC100" s="63"/>
      <c r="AD100" s="178">
        <f t="shared" si="18"/>
        <v>0</v>
      </c>
      <c r="AE100" s="82">
        <f>AE101+AE102+AE103</f>
        <v>0</v>
      </c>
      <c r="AF100" s="134"/>
      <c r="AG100" s="134"/>
      <c r="AH100" s="234"/>
      <c r="AI100" s="75" t="e">
        <f t="shared" si="14"/>
        <v>#DIV/0!</v>
      </c>
    </row>
    <row r="101" spans="1:35" ht="37.5" hidden="1">
      <c r="A101" s="36" t="s">
        <v>165</v>
      </c>
      <c r="B101" s="36" t="s">
        <v>166</v>
      </c>
      <c r="C101" s="37" t="s">
        <v>163</v>
      </c>
      <c r="D101" s="221" t="s">
        <v>167</v>
      </c>
      <c r="E101" s="73"/>
      <c r="F101" s="73"/>
      <c r="G101" s="73"/>
      <c r="H101" s="73"/>
      <c r="I101" s="73"/>
      <c r="J101" s="73"/>
      <c r="K101" s="73"/>
      <c r="L101" s="73"/>
      <c r="M101" s="82">
        <v>0</v>
      </c>
      <c r="N101" s="73"/>
      <c r="O101" s="84">
        <f t="shared" si="20"/>
        <v>340762.28</v>
      </c>
      <c r="P101" s="82">
        <f t="shared" si="21"/>
        <v>170381.14</v>
      </c>
      <c r="Q101" s="74">
        <f>550000-379618.86</f>
        <v>170381.14</v>
      </c>
      <c r="R101" s="216"/>
      <c r="S101" s="63"/>
      <c r="T101" s="97">
        <v>170381.14</v>
      </c>
      <c r="U101" s="97"/>
      <c r="V101" s="74">
        <v>0</v>
      </c>
      <c r="W101" s="74"/>
      <c r="X101" s="97">
        <v>170381.14</v>
      </c>
      <c r="Y101" s="69">
        <f>X101/P101*100</f>
        <v>100</v>
      </c>
      <c r="Z101" s="82">
        <f>Z102+Z103+Z104</f>
        <v>0</v>
      </c>
      <c r="AA101" s="74">
        <f t="shared" si="19"/>
        <v>0</v>
      </c>
      <c r="AB101" s="76">
        <f t="shared" si="17"/>
        <v>-170381.14</v>
      </c>
      <c r="AC101" s="63"/>
      <c r="AD101" s="178">
        <f t="shared" si="18"/>
        <v>0</v>
      </c>
      <c r="AE101" s="82">
        <f>AE102+AE103+AE104</f>
        <v>0</v>
      </c>
      <c r="AF101" s="134"/>
      <c r="AG101" s="134"/>
      <c r="AH101" s="234"/>
      <c r="AI101" s="75" t="e">
        <f t="shared" si="14"/>
        <v>#DIV/0!</v>
      </c>
    </row>
    <row r="102" spans="1:35" ht="32.25" customHeight="1" hidden="1">
      <c r="A102" s="36" t="s">
        <v>168</v>
      </c>
      <c r="B102" s="36" t="s">
        <v>169</v>
      </c>
      <c r="C102" s="37" t="s">
        <v>163</v>
      </c>
      <c r="D102" s="221" t="s">
        <v>170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20"/>
        <v>610364</v>
      </c>
      <c r="P102" s="82">
        <f t="shared" si="21"/>
        <v>305182</v>
      </c>
      <c r="Q102" s="74">
        <v>305182</v>
      </c>
      <c r="R102" s="216"/>
      <c r="S102" s="63"/>
      <c r="T102" s="97"/>
      <c r="U102" s="97"/>
      <c r="V102" s="74">
        <v>0</v>
      </c>
      <c r="W102" s="74"/>
      <c r="X102" s="97"/>
      <c r="Y102" s="69"/>
      <c r="Z102" s="82">
        <f>Z103+Z104+Z105</f>
        <v>0</v>
      </c>
      <c r="AA102" s="74">
        <f t="shared" si="19"/>
        <v>0</v>
      </c>
      <c r="AB102" s="76">
        <f t="shared" si="17"/>
        <v>-305182</v>
      </c>
      <c r="AC102" s="63"/>
      <c r="AD102" s="178">
        <f t="shared" si="18"/>
        <v>0</v>
      </c>
      <c r="AE102" s="82">
        <f>AE103+AE104+AE105</f>
        <v>0</v>
      </c>
      <c r="AF102" s="134"/>
      <c r="AG102" s="134"/>
      <c r="AH102" s="234"/>
      <c r="AI102" s="75" t="e">
        <f t="shared" si="14"/>
        <v>#DIV/0!</v>
      </c>
    </row>
    <row r="103" spans="1:35" ht="51.75" customHeight="1" hidden="1">
      <c r="A103" s="36" t="s">
        <v>171</v>
      </c>
      <c r="B103" s="36" t="s">
        <v>172</v>
      </c>
      <c r="C103" s="37" t="s">
        <v>173</v>
      </c>
      <c r="D103" s="221" t="s">
        <v>174</v>
      </c>
      <c r="E103" s="73"/>
      <c r="F103" s="73"/>
      <c r="G103" s="73"/>
      <c r="H103" s="73"/>
      <c r="I103" s="73"/>
      <c r="J103" s="73"/>
      <c r="K103" s="73"/>
      <c r="L103" s="73"/>
      <c r="M103" s="82">
        <f>M104+M105+M106</f>
        <v>0</v>
      </c>
      <c r="N103" s="73"/>
      <c r="O103" s="84">
        <f t="shared" si="20"/>
        <v>20012024</v>
      </c>
      <c r="P103" s="82">
        <f t="shared" si="21"/>
        <v>10006012</v>
      </c>
      <c r="Q103" s="74">
        <f>Q104+Q105+Q106</f>
        <v>10006012</v>
      </c>
      <c r="R103" s="99"/>
      <c r="S103" s="63"/>
      <c r="T103" s="74">
        <f>T104+T105+T106</f>
        <v>7554942</v>
      </c>
      <c r="U103" s="74"/>
      <c r="V103" s="74">
        <v>0</v>
      </c>
      <c r="W103" s="74"/>
      <c r="X103" s="74">
        <f>X104+X105+X106</f>
        <v>7554942</v>
      </c>
      <c r="Y103" s="183">
        <f>X103/P103*100</f>
        <v>75.50402697898024</v>
      </c>
      <c r="Z103" s="82">
        <f>Z104+Z105+Z106</f>
        <v>0</v>
      </c>
      <c r="AA103" s="74">
        <f t="shared" si="19"/>
        <v>0</v>
      </c>
      <c r="AB103" s="76">
        <f t="shared" si="17"/>
        <v>-10006012</v>
      </c>
      <c r="AC103" s="63"/>
      <c r="AD103" s="178">
        <f t="shared" si="18"/>
        <v>0</v>
      </c>
      <c r="AE103" s="82">
        <f>AE104+AE105+AE106</f>
        <v>0</v>
      </c>
      <c r="AF103" s="134"/>
      <c r="AG103" s="134"/>
      <c r="AH103" s="234"/>
      <c r="AI103" s="75" t="e">
        <f t="shared" si="14"/>
        <v>#DIV/0!</v>
      </c>
    </row>
    <row r="104" spans="1:35" ht="24" customHeight="1" hidden="1">
      <c r="A104" s="36"/>
      <c r="B104" s="36"/>
      <c r="C104" s="39"/>
      <c r="D104" s="55" t="s">
        <v>175</v>
      </c>
      <c r="E104" s="73"/>
      <c r="F104" s="73"/>
      <c r="G104" s="73"/>
      <c r="H104" s="73"/>
      <c r="I104" s="73"/>
      <c r="J104" s="73"/>
      <c r="K104" s="73"/>
      <c r="L104" s="73"/>
      <c r="M104" s="58">
        <v>0</v>
      </c>
      <c r="N104" s="73"/>
      <c r="O104" s="62">
        <f t="shared" si="20"/>
        <v>4000000</v>
      </c>
      <c r="P104" s="58">
        <f t="shared" si="21"/>
        <v>2000000</v>
      </c>
      <c r="Q104" s="67">
        <f>1500000+500000</f>
        <v>2000000</v>
      </c>
      <c r="R104" s="99"/>
      <c r="S104" s="63"/>
      <c r="T104" s="97">
        <f>185695.2+283914.6+257099.4+99340.8+62907.6+129854.4+71424+72591.6+236332.8+190290+101258.4+5511.6+10389.6</f>
        <v>1706610.0000000002</v>
      </c>
      <c r="U104" s="97"/>
      <c r="V104" s="74">
        <v>0</v>
      </c>
      <c r="W104" s="74"/>
      <c r="X104" s="97">
        <f>185695.2+283914.6+257099.4+99340.8+62907.6+129854.4+71424+72591.6+236332.8+190290+101258.4+5511.6+10389.6</f>
        <v>1706610.0000000002</v>
      </c>
      <c r="Y104" s="69">
        <f>X104/P104*100</f>
        <v>85.33050000000001</v>
      </c>
      <c r="Z104" s="59">
        <v>0</v>
      </c>
      <c r="AA104" s="74">
        <f t="shared" si="19"/>
        <v>0</v>
      </c>
      <c r="AB104" s="76">
        <f t="shared" si="17"/>
        <v>-2000000</v>
      </c>
      <c r="AC104" s="63"/>
      <c r="AD104" s="178">
        <f t="shared" si="18"/>
        <v>0</v>
      </c>
      <c r="AE104" s="187"/>
      <c r="AF104" s="134"/>
      <c r="AG104" s="134"/>
      <c r="AH104" s="234"/>
      <c r="AI104" s="75" t="e">
        <f t="shared" si="14"/>
        <v>#DIV/0!</v>
      </c>
    </row>
    <row r="105" spans="1:35" ht="18.75" hidden="1">
      <c r="A105" s="36"/>
      <c r="B105" s="36"/>
      <c r="C105" s="39"/>
      <c r="D105" s="55" t="s">
        <v>176</v>
      </c>
      <c r="E105" s="73"/>
      <c r="F105" s="73"/>
      <c r="G105" s="73"/>
      <c r="H105" s="73"/>
      <c r="I105" s="73"/>
      <c r="J105" s="73"/>
      <c r="K105" s="73"/>
      <c r="L105" s="73"/>
      <c r="M105" s="58">
        <v>0</v>
      </c>
      <c r="N105" s="73"/>
      <c r="O105" s="62">
        <f t="shared" si="20"/>
        <v>9012024</v>
      </c>
      <c r="P105" s="58">
        <f t="shared" si="21"/>
        <v>4506012</v>
      </c>
      <c r="Q105" s="67">
        <f>5000000-500000+6012</f>
        <v>4506012</v>
      </c>
      <c r="R105" s="99"/>
      <c r="S105" s="63"/>
      <c r="T105" s="97">
        <f>309091.2+295428.55+104848.25+410089.8+99821.4+824466.6+79300.2-85899.6+234306+338492.4+314325+469128-30844.2+68012.4+172592.4+166410+6012</f>
        <v>3775580.3999999994</v>
      </c>
      <c r="U105" s="97"/>
      <c r="V105" s="74">
        <v>0</v>
      </c>
      <c r="W105" s="74"/>
      <c r="X105" s="97">
        <f>309091.2+295428.55+104848.25+410089.8+99821.4+824466.6+79300.2-85899.6+234306+338492.4+314325+469128-30844.2+68012.4+172592.4+166410+6012</f>
        <v>3775580.3999999994</v>
      </c>
      <c r="Y105" s="69">
        <f>X105/P105*100</f>
        <v>83.78984343583637</v>
      </c>
      <c r="Z105" s="59">
        <v>0</v>
      </c>
      <c r="AA105" s="74">
        <f t="shared" si="19"/>
        <v>0</v>
      </c>
      <c r="AB105" s="76">
        <f t="shared" si="17"/>
        <v>-4506012</v>
      </c>
      <c r="AC105" s="63"/>
      <c r="AD105" s="178">
        <f t="shared" si="18"/>
        <v>0</v>
      </c>
      <c r="AE105" s="187"/>
      <c r="AF105" s="134"/>
      <c r="AG105" s="134"/>
      <c r="AH105" s="234"/>
      <c r="AI105" s="75" t="e">
        <f t="shared" si="14"/>
        <v>#DIV/0!</v>
      </c>
    </row>
    <row r="106" spans="1:35" ht="21" customHeight="1" hidden="1">
      <c r="A106" s="36"/>
      <c r="B106" s="36"/>
      <c r="C106" s="39"/>
      <c r="D106" s="55" t="s">
        <v>177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20"/>
        <v>7000000</v>
      </c>
      <c r="P106" s="58">
        <f t="shared" si="21"/>
        <v>3500000</v>
      </c>
      <c r="Q106" s="67">
        <v>3500000</v>
      </c>
      <c r="R106" s="99"/>
      <c r="S106" s="63"/>
      <c r="T106" s="97">
        <v>2072751.6</v>
      </c>
      <c r="U106" s="97"/>
      <c r="V106" s="74">
        <v>0</v>
      </c>
      <c r="W106" s="74"/>
      <c r="X106" s="97">
        <v>2072751.6</v>
      </c>
      <c r="Y106" s="69">
        <f>X106/P106*100</f>
        <v>59.221474285714294</v>
      </c>
      <c r="Z106" s="59">
        <v>0</v>
      </c>
      <c r="AA106" s="74">
        <f t="shared" si="19"/>
        <v>0</v>
      </c>
      <c r="AB106" s="76">
        <f t="shared" si="17"/>
        <v>-3500000</v>
      </c>
      <c r="AC106" s="63"/>
      <c r="AD106" s="178">
        <f t="shared" si="18"/>
        <v>0</v>
      </c>
      <c r="AE106" s="187"/>
      <c r="AF106" s="134"/>
      <c r="AG106" s="134"/>
      <c r="AH106" s="234"/>
      <c r="AI106" s="75" t="e">
        <f t="shared" si="14"/>
        <v>#DIV/0!</v>
      </c>
    </row>
    <row r="107" spans="1:35" ht="21" customHeight="1">
      <c r="A107" s="36"/>
      <c r="B107" s="36"/>
      <c r="C107" s="39"/>
      <c r="D107" s="55" t="s">
        <v>225</v>
      </c>
      <c r="E107" s="73"/>
      <c r="F107" s="73"/>
      <c r="G107" s="73"/>
      <c r="H107" s="73"/>
      <c r="I107" s="73"/>
      <c r="J107" s="73"/>
      <c r="K107" s="73"/>
      <c r="L107" s="73"/>
      <c r="M107" s="58"/>
      <c r="N107" s="73"/>
      <c r="O107" s="62"/>
      <c r="P107" s="58"/>
      <c r="Q107" s="67"/>
      <c r="R107" s="99"/>
      <c r="S107" s="63"/>
      <c r="T107" s="97"/>
      <c r="U107" s="97"/>
      <c r="V107" s="74"/>
      <c r="W107" s="74"/>
      <c r="X107" s="97"/>
      <c r="Y107" s="69"/>
      <c r="Z107" s="59"/>
      <c r="AA107" s="74"/>
      <c r="AB107" s="76"/>
      <c r="AC107" s="63"/>
      <c r="AD107" s="251">
        <f>AE107</f>
        <v>11806.56</v>
      </c>
      <c r="AE107" s="187">
        <v>11806.56</v>
      </c>
      <c r="AF107" s="134"/>
      <c r="AG107" s="134"/>
      <c r="AH107" s="234">
        <v>1115.07</v>
      </c>
      <c r="AI107" s="75">
        <f t="shared" si="14"/>
        <v>9.444495263650039</v>
      </c>
    </row>
    <row r="108" spans="1:35" ht="94.5" customHeight="1">
      <c r="A108" s="36"/>
      <c r="B108" s="38" t="s">
        <v>214</v>
      </c>
      <c r="C108" s="39"/>
      <c r="D108" s="250" t="s">
        <v>237</v>
      </c>
      <c r="E108" s="42"/>
      <c r="F108" s="42"/>
      <c r="G108" s="42"/>
      <c r="H108" s="42"/>
      <c r="I108" s="42"/>
      <c r="J108" s="42"/>
      <c r="K108" s="42"/>
      <c r="L108" s="42"/>
      <c r="M108" s="169"/>
      <c r="N108" s="42"/>
      <c r="O108" s="170"/>
      <c r="P108" s="169"/>
      <c r="Q108" s="171"/>
      <c r="R108" s="172"/>
      <c r="S108" s="172"/>
      <c r="T108" s="171"/>
      <c r="U108" s="171"/>
      <c r="V108" s="171"/>
      <c r="W108" s="171"/>
      <c r="X108" s="171"/>
      <c r="Y108" s="173"/>
      <c r="Z108" s="124"/>
      <c r="AA108" s="171"/>
      <c r="AB108" s="174"/>
      <c r="AC108" s="172"/>
      <c r="AD108" s="203">
        <f>AE108</f>
        <v>666836.4</v>
      </c>
      <c r="AE108" s="124">
        <v>666836.4</v>
      </c>
      <c r="AF108" s="22"/>
      <c r="AG108" s="22"/>
      <c r="AH108" s="124">
        <v>606679.2</v>
      </c>
      <c r="AI108" s="124">
        <v>91</v>
      </c>
    </row>
    <row r="109" spans="1:35" ht="21" customHeight="1">
      <c r="A109" s="36"/>
      <c r="B109" s="23" t="s">
        <v>25</v>
      </c>
      <c r="C109" s="24">
        <v>1</v>
      </c>
      <c r="D109" s="25" t="s">
        <v>178</v>
      </c>
      <c r="E109" s="26"/>
      <c r="F109" s="26"/>
      <c r="G109" s="27"/>
      <c r="H109" s="26"/>
      <c r="I109" s="26"/>
      <c r="J109" s="28"/>
      <c r="K109" s="28"/>
      <c r="L109" s="28"/>
      <c r="M109" s="29">
        <f>M110</f>
        <v>28400</v>
      </c>
      <c r="N109" s="100"/>
      <c r="O109" s="101">
        <f>P109+Q109</f>
        <v>56800</v>
      </c>
      <c r="P109" s="30">
        <f>Q109+R109</f>
        <v>28400</v>
      </c>
      <c r="Q109" s="31">
        <f>Q110</f>
        <v>28400</v>
      </c>
      <c r="R109" s="31">
        <f>R110</f>
        <v>0</v>
      </c>
      <c r="S109" s="31">
        <f>S110</f>
        <v>0</v>
      </c>
      <c r="T109" s="31">
        <f>T110</f>
        <v>0</v>
      </c>
      <c r="U109" s="31"/>
      <c r="V109" s="31">
        <f>P109*(0.9)</f>
        <v>25560</v>
      </c>
      <c r="W109" s="31"/>
      <c r="X109" s="31">
        <f>X110</f>
        <v>0</v>
      </c>
      <c r="Y109" s="33">
        <f>X109/P109*100</f>
        <v>0</v>
      </c>
      <c r="Z109" s="30">
        <v>50000</v>
      </c>
      <c r="AA109" s="29">
        <f>Z109/P109*100</f>
        <v>176.05633802816902</v>
      </c>
      <c r="AB109" s="265"/>
      <c r="AC109" s="22" t="s">
        <v>179</v>
      </c>
      <c r="AD109" s="152">
        <f aca="true" t="shared" si="22" ref="AD109:AD115">AE109+AF109</f>
        <v>30700</v>
      </c>
      <c r="AE109" s="102">
        <f>AE110</f>
        <v>30700</v>
      </c>
      <c r="AF109" s="35"/>
      <c r="AG109" s="35"/>
      <c r="AH109" s="205">
        <v>0</v>
      </c>
      <c r="AI109" s="33">
        <f t="shared" si="14"/>
        <v>0</v>
      </c>
    </row>
    <row r="110" spans="1:35" ht="21" customHeight="1">
      <c r="A110" s="36"/>
      <c r="B110" s="176" t="s">
        <v>102</v>
      </c>
      <c r="C110" s="103"/>
      <c r="D110" s="166" t="s">
        <v>180</v>
      </c>
      <c r="E110" s="12"/>
      <c r="F110" s="12"/>
      <c r="G110" s="13"/>
      <c r="H110" s="12"/>
      <c r="I110" s="12"/>
      <c r="J110" s="104"/>
      <c r="K110" s="104"/>
      <c r="L110" s="104"/>
      <c r="M110" s="105">
        <v>28400</v>
      </c>
      <c r="N110" s="104"/>
      <c r="O110" s="106">
        <f>P110+Q110</f>
        <v>56800</v>
      </c>
      <c r="P110" s="107">
        <f>Q110+R110</f>
        <v>28400</v>
      </c>
      <c r="Q110" s="74">
        <v>28400</v>
      </c>
      <c r="R110" s="74">
        <v>0</v>
      </c>
      <c r="S110" s="74">
        <v>0</v>
      </c>
      <c r="T110" s="74">
        <v>0</v>
      </c>
      <c r="U110" s="74"/>
      <c r="V110" s="74">
        <f>P110*(0.9)</f>
        <v>25560</v>
      </c>
      <c r="W110" s="74"/>
      <c r="X110" s="74">
        <v>0</v>
      </c>
      <c r="Y110" s="108">
        <f>X110/P110*100</f>
        <v>0</v>
      </c>
      <c r="Z110" s="109">
        <v>50000</v>
      </c>
      <c r="AA110" s="74">
        <f>Z110/P110*100</f>
        <v>176.05633802816902</v>
      </c>
      <c r="AB110" s="265"/>
      <c r="AC110" s="22"/>
      <c r="AD110" s="185">
        <f t="shared" si="22"/>
        <v>30700</v>
      </c>
      <c r="AE110" s="49">
        <v>30700</v>
      </c>
      <c r="AF110" s="81"/>
      <c r="AG110" s="81"/>
      <c r="AH110" s="206">
        <v>0</v>
      </c>
      <c r="AI110" s="48">
        <f t="shared" si="14"/>
        <v>0</v>
      </c>
    </row>
    <row r="111" spans="1:35" ht="64.5" customHeight="1">
      <c r="A111" s="36"/>
      <c r="B111" s="110" t="s">
        <v>26</v>
      </c>
      <c r="C111" s="111"/>
      <c r="D111" s="112" t="s">
        <v>142</v>
      </c>
      <c r="E111" s="113"/>
      <c r="F111" s="113"/>
      <c r="G111" s="113"/>
      <c r="H111" s="113"/>
      <c r="I111" s="113"/>
      <c r="J111" s="113"/>
      <c r="K111" s="113"/>
      <c r="L111" s="113"/>
      <c r="M111" s="114"/>
      <c r="N111" s="114"/>
      <c r="O111" s="114"/>
      <c r="P111" s="114"/>
      <c r="Q111" s="114"/>
      <c r="R111" s="114"/>
      <c r="S111" s="114"/>
      <c r="T111" s="114"/>
      <c r="U111" s="114"/>
      <c r="V111" s="31"/>
      <c r="W111" s="31"/>
      <c r="X111" s="114"/>
      <c r="Y111" s="114"/>
      <c r="Z111" s="102"/>
      <c r="AA111" s="31"/>
      <c r="AB111" s="34"/>
      <c r="AC111" s="135"/>
      <c r="AD111" s="152">
        <f t="shared" si="22"/>
        <v>736478.54</v>
      </c>
      <c r="AE111" s="102">
        <f>AE113</f>
        <v>736478.54</v>
      </c>
      <c r="AF111" s="35"/>
      <c r="AG111" s="35"/>
      <c r="AH111" s="180">
        <f>AH113</f>
        <v>233078.36000000002</v>
      </c>
      <c r="AI111" s="33">
        <f>AH111/AD111*100</f>
        <v>31.647678423868264</v>
      </c>
    </row>
    <row r="112" spans="1:35" ht="20.25" customHeight="1">
      <c r="A112" s="36" t="s">
        <v>143</v>
      </c>
      <c r="B112" s="38" t="s">
        <v>129</v>
      </c>
      <c r="C112" s="37"/>
      <c r="D112" s="85" t="s">
        <v>144</v>
      </c>
      <c r="E112" s="73"/>
      <c r="F112" s="73"/>
      <c r="G112" s="73"/>
      <c r="H112" s="73"/>
      <c r="I112" s="73"/>
      <c r="J112" s="73"/>
      <c r="K112" s="73"/>
      <c r="L112" s="73"/>
      <c r="M112" s="177">
        <f>M113</f>
        <v>135989</v>
      </c>
      <c r="N112" s="177"/>
      <c r="O112" s="84">
        <f>P112+Q112</f>
        <v>271978</v>
      </c>
      <c r="P112" s="82">
        <f>Q112+R112</f>
        <v>135989</v>
      </c>
      <c r="Q112" s="74">
        <f>Q113</f>
        <v>135989</v>
      </c>
      <c r="R112" s="134"/>
      <c r="S112" s="134"/>
      <c r="T112" s="74">
        <f>T113</f>
        <v>128500.84000000001</v>
      </c>
      <c r="U112" s="74"/>
      <c r="V112" s="74">
        <f>V113</f>
        <v>1147180.09</v>
      </c>
      <c r="W112" s="74">
        <v>402800</v>
      </c>
      <c r="X112" s="74">
        <f>X113</f>
        <v>128500.84000000001</v>
      </c>
      <c r="Y112" s="75">
        <f>X112/P112*100</f>
        <v>94.4935546257418</v>
      </c>
      <c r="Z112" s="82">
        <f>Z113</f>
        <v>1147180.09</v>
      </c>
      <c r="AA112" s="74">
        <f>Z112/P112*100</f>
        <v>843.5830030370104</v>
      </c>
      <c r="AB112" s="76">
        <f>Z112-P112</f>
        <v>1011191.0900000001</v>
      </c>
      <c r="AC112" s="88"/>
      <c r="AD112" s="178">
        <f t="shared" si="22"/>
        <v>777789.24</v>
      </c>
      <c r="AE112" s="179">
        <f>AE113+AE114</f>
        <v>777789.24</v>
      </c>
      <c r="AF112" s="134"/>
      <c r="AG112" s="22"/>
      <c r="AH112" s="179">
        <f>AH113+AH114</f>
        <v>233078.36000000002</v>
      </c>
      <c r="AI112" s="182">
        <f>AH112/AD112*100</f>
        <v>29.96677608962551</v>
      </c>
    </row>
    <row r="113" spans="1:35" ht="52.5" customHeight="1">
      <c r="A113" s="36"/>
      <c r="B113" s="38"/>
      <c r="C113" s="37"/>
      <c r="D113" s="77" t="s">
        <v>83</v>
      </c>
      <c r="E113" s="56"/>
      <c r="F113" s="56"/>
      <c r="G113" s="56"/>
      <c r="H113" s="56"/>
      <c r="I113" s="56"/>
      <c r="J113" s="56"/>
      <c r="K113" s="56"/>
      <c r="L113" s="56"/>
      <c r="M113" s="67">
        <f>135989</f>
        <v>135989</v>
      </c>
      <c r="N113" s="83"/>
      <c r="O113" s="62">
        <f>P113+Q113</f>
        <v>271978</v>
      </c>
      <c r="P113" s="58">
        <f>Q113+R113</f>
        <v>135989</v>
      </c>
      <c r="Q113" s="46">
        <f>135989</f>
        <v>135989</v>
      </c>
      <c r="R113" s="78"/>
      <c r="S113" s="78"/>
      <c r="T113" s="46">
        <f>6438.31+13187.76+54909+12393.8+41571.97</f>
        <v>128500.84000000001</v>
      </c>
      <c r="U113" s="46"/>
      <c r="V113" s="50">
        <v>1147180.09</v>
      </c>
      <c r="W113" s="50">
        <f>W112</f>
        <v>402800</v>
      </c>
      <c r="X113" s="46">
        <f>6438.31+13187.76+54909+12393.8+41571.97</f>
        <v>128500.84000000001</v>
      </c>
      <c r="Y113" s="64">
        <f>X113/P113*100</f>
        <v>94.4935546257418</v>
      </c>
      <c r="Z113" s="116">
        <v>1147180.09</v>
      </c>
      <c r="AA113" s="50">
        <f>Z113/P113*100</f>
        <v>843.5830030370104</v>
      </c>
      <c r="AB113" s="51">
        <f>Z113-P113</f>
        <v>1011191.0900000001</v>
      </c>
      <c r="AC113" s="78" t="s">
        <v>84</v>
      </c>
      <c r="AD113" s="185">
        <f t="shared" si="22"/>
        <v>736478.54</v>
      </c>
      <c r="AE113" s="59">
        <v>736478.54</v>
      </c>
      <c r="AF113" s="22"/>
      <c r="AG113" s="22"/>
      <c r="AH113" s="189">
        <f>11291.3+9563.01+9331.63+11197.95+10805.05+9724.53+8211.82+12317.77+10264.82+10264.82+40136.29+9912.46+80056.91</f>
        <v>233078.36000000002</v>
      </c>
      <c r="AI113" s="48">
        <f>AH113/AD113*100</f>
        <v>31.647678423868264</v>
      </c>
    </row>
    <row r="114" spans="1:37" ht="34.5" customHeight="1">
      <c r="A114" s="36"/>
      <c r="B114" s="36"/>
      <c r="C114" s="115"/>
      <c r="D114" s="246" t="s">
        <v>235</v>
      </c>
      <c r="AD114" s="185">
        <f t="shared" si="22"/>
        <v>41310.7</v>
      </c>
      <c r="AE114" s="59">
        <v>41310.7</v>
      </c>
      <c r="AF114" s="249"/>
      <c r="AG114" s="249"/>
      <c r="AH114" s="48">
        <v>0</v>
      </c>
      <c r="AI114" s="190">
        <f>AH114/AD114*100</f>
        <v>0</v>
      </c>
      <c r="AK114" s="93"/>
    </row>
    <row r="115" spans="1:35" ht="0.75" customHeight="1" hidden="1">
      <c r="A115" s="36"/>
      <c r="B115" s="36"/>
      <c r="C115" s="115"/>
      <c r="D115" s="77"/>
      <c r="E115" s="56"/>
      <c r="F115" s="56"/>
      <c r="G115" s="56"/>
      <c r="H115" s="56"/>
      <c r="I115" s="56"/>
      <c r="J115" s="56"/>
      <c r="K115" s="56"/>
      <c r="L115" s="56"/>
      <c r="M115" s="67"/>
      <c r="N115" s="83"/>
      <c r="O115" s="62"/>
      <c r="P115" s="58"/>
      <c r="Q115" s="46"/>
      <c r="R115" s="78"/>
      <c r="S115" s="78"/>
      <c r="T115" s="46"/>
      <c r="U115" s="46"/>
      <c r="V115" s="50"/>
      <c r="W115" s="50"/>
      <c r="X115" s="46"/>
      <c r="Y115" s="64"/>
      <c r="Z115" s="116"/>
      <c r="AA115" s="50"/>
      <c r="AB115" s="51"/>
      <c r="AC115" s="78"/>
      <c r="AD115" s="185">
        <f t="shared" si="22"/>
        <v>736478.54</v>
      </c>
      <c r="AE115" s="59">
        <v>736478.54</v>
      </c>
      <c r="AF115" s="247"/>
      <c r="AG115" s="247"/>
      <c r="AH115" s="191"/>
      <c r="AI115" s="248"/>
    </row>
    <row r="116" spans="1:35" ht="36.75" customHeight="1">
      <c r="A116" s="36"/>
      <c r="B116" s="110" t="s">
        <v>163</v>
      </c>
      <c r="C116" s="192"/>
      <c r="D116" s="112" t="s">
        <v>211</v>
      </c>
      <c r="E116" s="193"/>
      <c r="F116" s="193"/>
      <c r="G116" s="193"/>
      <c r="H116" s="193"/>
      <c r="I116" s="193"/>
      <c r="J116" s="193"/>
      <c r="K116" s="193"/>
      <c r="L116" s="193"/>
      <c r="M116" s="194"/>
      <c r="N116" s="195"/>
      <c r="O116" s="196"/>
      <c r="P116" s="114"/>
      <c r="Q116" s="197"/>
      <c r="R116" s="198"/>
      <c r="S116" s="198"/>
      <c r="T116" s="197"/>
      <c r="U116" s="197"/>
      <c r="V116" s="199"/>
      <c r="W116" s="199"/>
      <c r="X116" s="197"/>
      <c r="Y116" s="200"/>
      <c r="Z116" s="201"/>
      <c r="AA116" s="199"/>
      <c r="AB116" s="202"/>
      <c r="AC116" s="198"/>
      <c r="AD116" s="152">
        <f>AE116</f>
        <v>4500000</v>
      </c>
      <c r="AE116" s="102">
        <f>AE117</f>
        <v>4500000</v>
      </c>
      <c r="AF116" s="35"/>
      <c r="AG116" s="35"/>
      <c r="AH116" s="204">
        <f>AH117</f>
        <v>0</v>
      </c>
      <c r="AI116" s="33">
        <f>AH116/AD116*100</f>
        <v>0</v>
      </c>
    </row>
    <row r="117" spans="1:35" ht="36.75" customHeight="1">
      <c r="A117" s="36"/>
      <c r="B117" s="38" t="s">
        <v>212</v>
      </c>
      <c r="C117" s="115"/>
      <c r="D117" s="77" t="s">
        <v>213</v>
      </c>
      <c r="E117" s="56"/>
      <c r="F117" s="56"/>
      <c r="G117" s="56"/>
      <c r="H117" s="56"/>
      <c r="I117" s="56"/>
      <c r="J117" s="56"/>
      <c r="K117" s="56"/>
      <c r="L117" s="56"/>
      <c r="M117" s="67"/>
      <c r="N117" s="83"/>
      <c r="O117" s="62"/>
      <c r="P117" s="58"/>
      <c r="Q117" s="46"/>
      <c r="R117" s="78"/>
      <c r="S117" s="78"/>
      <c r="T117" s="46"/>
      <c r="U117" s="46"/>
      <c r="V117" s="50"/>
      <c r="W117" s="50"/>
      <c r="X117" s="46"/>
      <c r="Y117" s="64"/>
      <c r="Z117" s="116"/>
      <c r="AA117" s="50"/>
      <c r="AB117" s="51"/>
      <c r="AC117" s="78"/>
      <c r="AD117" s="185">
        <f>AE117</f>
        <v>4500000</v>
      </c>
      <c r="AE117" s="59">
        <v>4500000</v>
      </c>
      <c r="AF117" s="22"/>
      <c r="AG117" s="22"/>
      <c r="AH117" s="230">
        <v>0</v>
      </c>
      <c r="AI117" s="48">
        <f>AH117/AD117*100</f>
        <v>0</v>
      </c>
    </row>
    <row r="118" spans="1:35" ht="18" customHeight="1">
      <c r="A118" s="117"/>
      <c r="B118" s="117"/>
      <c r="C118" s="118"/>
      <c r="D118" s="119" t="s">
        <v>105</v>
      </c>
      <c r="E118" s="117"/>
      <c r="F118" s="117"/>
      <c r="G118" s="117"/>
      <c r="H118" s="117"/>
      <c r="I118" s="120"/>
      <c r="J118" s="120"/>
      <c r="K118" s="120"/>
      <c r="L118" s="120"/>
      <c r="M118" s="84" t="e">
        <f>M109+M49</f>
        <v>#REF!</v>
      </c>
      <c r="N118" s="84" t="e">
        <f>N109+N49</f>
        <v>#VALUE!</v>
      </c>
      <c r="O118" s="84" t="e">
        <f>O109+O49</f>
        <v>#REF!</v>
      </c>
      <c r="P118" s="82" t="e">
        <f>P109+P49</f>
        <v>#REF!</v>
      </c>
      <c r="Q118" s="84"/>
      <c r="R118" s="84"/>
      <c r="S118" s="84"/>
      <c r="T118" s="84"/>
      <c r="U118" s="84"/>
      <c r="V118" s="84"/>
      <c r="W118" s="74"/>
      <c r="X118" s="84"/>
      <c r="Y118" s="84"/>
      <c r="Z118" s="82" t="e">
        <f>Z109+Z49</f>
        <v>#REF!</v>
      </c>
      <c r="AA118" s="84" t="e">
        <f>AA109+AA49</f>
        <v>#REF!</v>
      </c>
      <c r="AB118" s="84" t="e">
        <f>AB109+AB49</f>
        <v>#REF!</v>
      </c>
      <c r="AC118" s="84"/>
      <c r="AD118" s="146">
        <f>AD116+AD111+AD109+AD49+AD47+AD8</f>
        <v>84328607.66214901</v>
      </c>
      <c r="AE118" s="146">
        <f>AE116+AE111+AE109+AE49+AE47+AE8</f>
        <v>62622697.662149005</v>
      </c>
      <c r="AF118" s="146">
        <f>AF116+AF111+AF109+AF49+AF47+AF8</f>
        <v>21705910</v>
      </c>
      <c r="AG118" s="146">
        <f>AG116+AG111+AG109+AG49+AG47+AG8</f>
        <v>21705910</v>
      </c>
      <c r="AH118" s="146">
        <f>AH116+AH111+AH109+AH49+AH47+AH8</f>
        <v>40339667.910000004</v>
      </c>
      <c r="AI118" s="182">
        <f>AH118/AD118*100</f>
        <v>47.83627884811681</v>
      </c>
    </row>
    <row r="119" spans="16:23" ht="12.75">
      <c r="P119" s="94"/>
      <c r="R119" s="133"/>
      <c r="S119" s="133"/>
      <c r="V119" s="93"/>
      <c r="W119" s="93"/>
    </row>
    <row r="120" spans="1:30" ht="12.75">
      <c r="A120" s="121"/>
      <c r="B120" s="123"/>
      <c r="C120" s="122"/>
      <c r="P120" s="94"/>
      <c r="R120" s="5"/>
      <c r="S120" s="5"/>
      <c r="T120" s="5"/>
      <c r="U120" s="5"/>
      <c r="V120" s="5"/>
      <c r="W120" s="5"/>
      <c r="X120" s="5"/>
      <c r="AD120" s="175"/>
    </row>
    <row r="121" spans="4:33" s="241" customFormat="1" ht="18.75"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3"/>
      <c r="Q121" s="242"/>
      <c r="R121" s="244"/>
      <c r="S121" s="244"/>
      <c r="T121" s="244"/>
      <c r="U121" s="244"/>
      <c r="V121" s="244"/>
      <c r="W121" s="244"/>
      <c r="X121" s="244"/>
      <c r="Y121" s="242"/>
      <c r="Z121" s="242"/>
      <c r="AA121" s="242"/>
      <c r="AB121" s="242"/>
      <c r="AC121" s="242"/>
      <c r="AD121" s="242"/>
      <c r="AG121" s="245"/>
    </row>
    <row r="122" spans="16:24" ht="12.75">
      <c r="P122" s="94"/>
      <c r="R122" s="5"/>
      <c r="S122" s="5"/>
      <c r="T122" s="5"/>
      <c r="U122" s="5"/>
      <c r="V122" s="5"/>
      <c r="W122" s="5"/>
      <c r="X122" s="5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ht="12.75">
      <c r="AE124" s="94"/>
    </row>
    <row r="172" ht="12.75"/>
    <row r="173" ht="12.75"/>
    <row r="174" ht="12.75"/>
    <row r="175" ht="12.75"/>
    <row r="176" ht="12.75"/>
    <row r="177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2017-07-19T06:23:08Z</cp:lastPrinted>
  <dcterms:created xsi:type="dcterms:W3CDTF">2014-01-17T10:52:16Z</dcterms:created>
  <dcterms:modified xsi:type="dcterms:W3CDTF">2017-07-24T12:37:59Z</dcterms:modified>
  <cp:category/>
  <cp:version/>
  <cp:contentType/>
  <cp:contentStatus/>
</cp:coreProperties>
</file>